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kras\OneDrive\Documents\Tearline\William &amp; Mary\Year 2\Ecuador piece\"/>
    </mc:Choice>
  </mc:AlternateContent>
  <xr:revisionPtr revIDLastSave="0" documentId="8_{4A354C22-8F85-4E15-A752-34C18E71BF41}" xr6:coauthVersionLast="47" xr6:coauthVersionMax="47" xr10:uidLastSave="{00000000-0000-0000-0000-000000000000}"/>
  <bookViews>
    <workbookView xWindow="-108" yWindow="-108" windowWidth="23256" windowHeight="12576" xr2:uid="{00000000-000D-0000-FFFF-FFFF00000000}"/>
  </bookViews>
  <sheets>
    <sheet name="Approved Activities" sheetId="7" r:id="rId1"/>
    <sheet name="Metadata" sheetId="10"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28" i="7" l="1"/>
  <c r="X129" i="7"/>
  <c r="W168" i="7"/>
  <c r="V168" i="7"/>
  <c r="U168" i="7"/>
  <c r="T168" i="7"/>
  <c r="S168" i="7"/>
  <c r="R168" i="7"/>
  <c r="Q168" i="7"/>
  <c r="P168" i="7"/>
  <c r="O168" i="7"/>
  <c r="N168" i="7"/>
  <c r="M168" i="7"/>
  <c r="L168" i="7"/>
  <c r="K168" i="7"/>
  <c r="J168" i="7"/>
  <c r="I168" i="7"/>
  <c r="H168" i="7"/>
  <c r="G168" i="7"/>
  <c r="F168" i="7"/>
  <c r="E168" i="7"/>
  <c r="D168" i="7"/>
  <c r="C168" i="7"/>
  <c r="B168" i="7"/>
  <c r="A168" i="7"/>
  <c r="W167" i="7"/>
  <c r="V167" i="7"/>
  <c r="U167" i="7"/>
  <c r="T167" i="7"/>
  <c r="S167" i="7"/>
  <c r="Q167" i="7"/>
  <c r="P167" i="7"/>
  <c r="O167" i="7"/>
  <c r="N167" i="7"/>
  <c r="M167" i="7"/>
  <c r="L167" i="7"/>
  <c r="K167" i="7"/>
  <c r="J167" i="7"/>
  <c r="I167" i="7"/>
  <c r="H167" i="7"/>
  <c r="G167" i="7"/>
  <c r="F167" i="7"/>
  <c r="E167" i="7"/>
  <c r="D167" i="7"/>
  <c r="C167" i="7"/>
  <c r="B167" i="7"/>
  <c r="A167" i="7"/>
  <c r="W166" i="7"/>
  <c r="V166" i="7"/>
  <c r="U166" i="7"/>
  <c r="T166" i="7"/>
  <c r="S166" i="7"/>
  <c r="Q166" i="7"/>
  <c r="P166" i="7"/>
  <c r="O166" i="7"/>
  <c r="N166" i="7"/>
  <c r="M166" i="7"/>
  <c r="L166" i="7"/>
  <c r="K166" i="7"/>
  <c r="J166" i="7"/>
  <c r="I166" i="7"/>
  <c r="H166" i="7"/>
  <c r="G166" i="7"/>
  <c r="F166" i="7"/>
  <c r="E166" i="7"/>
  <c r="D166" i="7"/>
  <c r="C166" i="7"/>
  <c r="B166" i="7"/>
  <c r="A166" i="7"/>
  <c r="W165" i="7"/>
  <c r="U165" i="7"/>
  <c r="T165" i="7"/>
  <c r="S165" i="7"/>
  <c r="R165" i="7"/>
  <c r="Q165" i="7"/>
  <c r="P165" i="7"/>
  <c r="O165" i="7"/>
  <c r="N165" i="7"/>
  <c r="M165" i="7"/>
  <c r="L165" i="7"/>
  <c r="K165" i="7"/>
  <c r="J165" i="7"/>
  <c r="I165" i="7"/>
  <c r="H165" i="7"/>
  <c r="G165" i="7"/>
  <c r="F165" i="7"/>
  <c r="E165" i="7"/>
  <c r="D165" i="7"/>
  <c r="C165" i="7"/>
  <c r="B165" i="7"/>
  <c r="A165" i="7"/>
  <c r="W164" i="7"/>
  <c r="V164" i="7"/>
  <c r="U164" i="7"/>
  <c r="T164" i="7"/>
  <c r="S164" i="7"/>
  <c r="R164" i="7"/>
  <c r="Q164" i="7"/>
  <c r="P164" i="7"/>
  <c r="O164" i="7"/>
  <c r="N164" i="7"/>
  <c r="M164" i="7"/>
  <c r="L164" i="7"/>
  <c r="K164" i="7"/>
  <c r="J164" i="7"/>
  <c r="I164" i="7"/>
  <c r="H164" i="7"/>
  <c r="G164" i="7"/>
  <c r="F164" i="7"/>
  <c r="E164" i="7"/>
  <c r="D164" i="7"/>
  <c r="C164" i="7"/>
  <c r="B164" i="7"/>
  <c r="A164" i="7"/>
  <c r="W163" i="7"/>
  <c r="V163" i="7"/>
  <c r="U163" i="7"/>
  <c r="T163" i="7"/>
  <c r="S163" i="7"/>
  <c r="R163" i="7"/>
  <c r="Q163" i="7"/>
  <c r="P163" i="7"/>
  <c r="O163" i="7"/>
  <c r="N163" i="7"/>
  <c r="M163" i="7"/>
  <c r="L163" i="7"/>
  <c r="K163" i="7"/>
  <c r="J163" i="7"/>
  <c r="I163" i="7"/>
  <c r="H163" i="7"/>
  <c r="G163" i="7"/>
  <c r="F163" i="7"/>
  <c r="E163" i="7"/>
  <c r="D163" i="7"/>
  <c r="C163" i="7"/>
  <c r="B163" i="7"/>
  <c r="A163" i="7"/>
  <c r="W162" i="7"/>
  <c r="V162" i="7"/>
  <c r="U162" i="7"/>
  <c r="T162" i="7"/>
  <c r="S162" i="7"/>
  <c r="R162" i="7"/>
  <c r="Q162" i="7"/>
  <c r="P162" i="7"/>
  <c r="O162" i="7"/>
  <c r="N162" i="7"/>
  <c r="M162" i="7"/>
  <c r="L162" i="7"/>
  <c r="K162" i="7"/>
  <c r="J162" i="7"/>
  <c r="I162" i="7"/>
  <c r="H162" i="7"/>
  <c r="G162" i="7"/>
  <c r="F162" i="7"/>
  <c r="E162" i="7"/>
  <c r="D162" i="7"/>
  <c r="C162" i="7"/>
  <c r="B162" i="7"/>
  <c r="A162" i="7"/>
  <c r="W161" i="7"/>
  <c r="V161" i="7"/>
  <c r="U161" i="7"/>
  <c r="T161" i="7"/>
  <c r="S161" i="7"/>
  <c r="R161" i="7"/>
  <c r="Q161" i="7"/>
  <c r="P161" i="7"/>
  <c r="O161" i="7"/>
  <c r="N161" i="7"/>
  <c r="M161" i="7"/>
  <c r="L161" i="7"/>
  <c r="K161" i="7"/>
  <c r="J161" i="7"/>
  <c r="I161" i="7"/>
  <c r="H161" i="7"/>
  <c r="G161" i="7"/>
  <c r="F161" i="7"/>
  <c r="E161" i="7"/>
  <c r="D161" i="7"/>
  <c r="C161" i="7"/>
  <c r="B161" i="7"/>
  <c r="A161" i="7"/>
  <c r="W160" i="7"/>
  <c r="V160" i="7"/>
  <c r="U160" i="7"/>
  <c r="T160" i="7"/>
  <c r="S160" i="7"/>
  <c r="R160" i="7"/>
  <c r="Q160" i="7"/>
  <c r="P160" i="7"/>
  <c r="O160" i="7"/>
  <c r="N160" i="7"/>
  <c r="M160" i="7"/>
  <c r="L160" i="7"/>
  <c r="K160" i="7"/>
  <c r="J160" i="7"/>
  <c r="I160" i="7"/>
  <c r="H160" i="7"/>
  <c r="G160" i="7"/>
  <c r="F160" i="7"/>
  <c r="E160" i="7"/>
  <c r="D160" i="7"/>
  <c r="C160" i="7"/>
  <c r="B160" i="7"/>
  <c r="A160" i="7"/>
  <c r="W159" i="7"/>
  <c r="V159" i="7"/>
  <c r="U159" i="7"/>
  <c r="T159" i="7"/>
  <c r="S159" i="7"/>
  <c r="R159" i="7"/>
  <c r="Q159" i="7"/>
  <c r="P159" i="7"/>
  <c r="O159" i="7"/>
  <c r="N159" i="7"/>
  <c r="M159" i="7"/>
  <c r="L159" i="7"/>
  <c r="K159" i="7"/>
  <c r="J159" i="7"/>
  <c r="I159" i="7"/>
  <c r="H159" i="7"/>
  <c r="G159" i="7"/>
  <c r="F159" i="7"/>
  <c r="E159" i="7"/>
  <c r="D159" i="7"/>
  <c r="C159" i="7"/>
  <c r="B159" i="7"/>
  <c r="A159" i="7"/>
  <c r="W158" i="7"/>
  <c r="U158" i="7"/>
  <c r="T158" i="7"/>
  <c r="S158" i="7"/>
  <c r="R158" i="7"/>
  <c r="Q158" i="7"/>
  <c r="P158" i="7"/>
  <c r="O158" i="7"/>
  <c r="N158" i="7"/>
  <c r="M158" i="7"/>
  <c r="L158" i="7"/>
  <c r="K158" i="7"/>
  <c r="J158" i="7"/>
  <c r="I158" i="7"/>
  <c r="H158" i="7"/>
  <c r="G158" i="7"/>
  <c r="F158" i="7"/>
  <c r="E158" i="7"/>
  <c r="D158" i="7"/>
  <c r="C158" i="7"/>
  <c r="B158" i="7"/>
  <c r="A158" i="7"/>
  <c r="W157" i="7"/>
  <c r="V157" i="7"/>
  <c r="U157" i="7"/>
  <c r="T157" i="7"/>
  <c r="S157" i="7"/>
  <c r="R157" i="7"/>
  <c r="Q157" i="7"/>
  <c r="P157" i="7"/>
  <c r="O157" i="7"/>
  <c r="N157" i="7"/>
  <c r="M157" i="7"/>
  <c r="L157" i="7"/>
  <c r="K157" i="7"/>
  <c r="J157" i="7"/>
  <c r="I157" i="7"/>
  <c r="H157" i="7"/>
  <c r="G157" i="7"/>
  <c r="F157" i="7"/>
  <c r="E157" i="7"/>
  <c r="D157" i="7"/>
  <c r="C157" i="7"/>
  <c r="B157" i="7"/>
  <c r="A157" i="7"/>
  <c r="W156" i="7"/>
  <c r="V156" i="7"/>
  <c r="U156" i="7"/>
  <c r="T156" i="7"/>
  <c r="S156" i="7"/>
  <c r="R156" i="7"/>
  <c r="Q156" i="7"/>
  <c r="P156" i="7"/>
  <c r="O156" i="7"/>
  <c r="N156" i="7"/>
  <c r="M156" i="7"/>
  <c r="L156" i="7"/>
  <c r="K156" i="7"/>
  <c r="J156" i="7"/>
  <c r="I156" i="7"/>
  <c r="H156" i="7"/>
  <c r="G156" i="7"/>
  <c r="F156" i="7"/>
  <c r="E156" i="7"/>
  <c r="D156" i="7"/>
  <c r="C156" i="7"/>
  <c r="B156" i="7"/>
  <c r="A156" i="7"/>
  <c r="W155" i="7"/>
  <c r="V155" i="7"/>
  <c r="U155" i="7"/>
  <c r="T155" i="7"/>
  <c r="S155" i="7"/>
  <c r="R155" i="7"/>
  <c r="Q155" i="7"/>
  <c r="P155" i="7"/>
  <c r="O155" i="7"/>
  <c r="N155" i="7"/>
  <c r="M155" i="7"/>
  <c r="L155" i="7"/>
  <c r="K155" i="7"/>
  <c r="J155" i="7"/>
  <c r="I155" i="7"/>
  <c r="H155" i="7"/>
  <c r="G155" i="7"/>
  <c r="F155" i="7"/>
  <c r="E155" i="7"/>
  <c r="D155" i="7"/>
  <c r="C155" i="7"/>
  <c r="B155" i="7"/>
  <c r="A155" i="7"/>
  <c r="W154" i="7"/>
  <c r="V154" i="7"/>
  <c r="U154" i="7"/>
  <c r="T154" i="7"/>
  <c r="S154" i="7"/>
  <c r="R154" i="7"/>
  <c r="Q154" i="7"/>
  <c r="P154" i="7"/>
  <c r="O154" i="7"/>
  <c r="N154" i="7"/>
  <c r="M154" i="7"/>
  <c r="L154" i="7"/>
  <c r="K154" i="7"/>
  <c r="J154" i="7"/>
  <c r="I154" i="7"/>
  <c r="H154" i="7"/>
  <c r="G154" i="7"/>
  <c r="F154" i="7"/>
  <c r="E154" i="7"/>
  <c r="D154" i="7"/>
  <c r="C154" i="7"/>
  <c r="B154" i="7"/>
  <c r="A154" i="7"/>
  <c r="W153" i="7"/>
  <c r="V153" i="7"/>
  <c r="U153" i="7"/>
  <c r="T153" i="7"/>
  <c r="S153" i="7"/>
  <c r="R153" i="7"/>
  <c r="Q153" i="7"/>
  <c r="P153" i="7"/>
  <c r="O153" i="7"/>
  <c r="N153" i="7"/>
  <c r="M153" i="7"/>
  <c r="L153" i="7"/>
  <c r="K153" i="7"/>
  <c r="J153" i="7"/>
  <c r="I153" i="7"/>
  <c r="H153" i="7"/>
  <c r="G153" i="7"/>
  <c r="F153" i="7"/>
  <c r="E153" i="7"/>
  <c r="D153" i="7"/>
  <c r="C153" i="7"/>
  <c r="B153" i="7"/>
  <c r="A153" i="7"/>
  <c r="W152" i="7"/>
  <c r="V152" i="7"/>
  <c r="U152" i="7"/>
  <c r="T152" i="7"/>
  <c r="S152" i="7"/>
  <c r="R152" i="7"/>
  <c r="Q152" i="7"/>
  <c r="P152" i="7"/>
  <c r="O152" i="7"/>
  <c r="N152" i="7"/>
  <c r="M152" i="7"/>
  <c r="L152" i="7"/>
  <c r="K152" i="7"/>
  <c r="J152" i="7"/>
  <c r="I152" i="7"/>
  <c r="H152" i="7"/>
  <c r="G152" i="7"/>
  <c r="F152" i="7"/>
  <c r="E152" i="7"/>
  <c r="D152" i="7"/>
  <c r="C152" i="7"/>
  <c r="B152" i="7"/>
  <c r="A152" i="7"/>
  <c r="W151" i="7"/>
  <c r="V151" i="7"/>
  <c r="U151" i="7"/>
  <c r="T151" i="7"/>
  <c r="S151" i="7"/>
  <c r="R151" i="7"/>
  <c r="Q151" i="7"/>
  <c r="P151" i="7"/>
  <c r="O151" i="7"/>
  <c r="N151" i="7"/>
  <c r="M151" i="7"/>
  <c r="L151" i="7"/>
  <c r="K151" i="7"/>
  <c r="J151" i="7"/>
  <c r="I151" i="7"/>
  <c r="H151" i="7"/>
  <c r="G151" i="7"/>
  <c r="F151" i="7"/>
  <c r="E151" i="7"/>
  <c r="D151" i="7"/>
  <c r="C151" i="7"/>
  <c r="B151" i="7"/>
  <c r="A151" i="7"/>
  <c r="W150" i="7"/>
  <c r="U150" i="7"/>
  <c r="T150" i="7"/>
  <c r="S150" i="7"/>
  <c r="R150" i="7"/>
  <c r="Q150" i="7"/>
  <c r="P150" i="7"/>
  <c r="O150" i="7"/>
  <c r="N150" i="7"/>
  <c r="M150" i="7"/>
  <c r="L150" i="7"/>
  <c r="K150" i="7"/>
  <c r="J150" i="7"/>
  <c r="I150" i="7"/>
  <c r="H150" i="7"/>
  <c r="G150" i="7"/>
  <c r="F150" i="7"/>
  <c r="E150" i="7"/>
  <c r="D150" i="7"/>
  <c r="C150" i="7"/>
  <c r="B150" i="7"/>
  <c r="A150" i="7"/>
  <c r="W149" i="7"/>
  <c r="V149" i="7"/>
  <c r="U149" i="7"/>
  <c r="T149" i="7"/>
  <c r="S149" i="7"/>
  <c r="R149" i="7"/>
  <c r="Q149" i="7"/>
  <c r="P149" i="7"/>
  <c r="O149" i="7"/>
  <c r="N149" i="7"/>
  <c r="M149" i="7"/>
  <c r="L149" i="7"/>
  <c r="K149" i="7"/>
  <c r="J149" i="7"/>
  <c r="I149" i="7"/>
  <c r="H149" i="7"/>
  <c r="G149" i="7"/>
  <c r="F149" i="7"/>
  <c r="E149" i="7"/>
  <c r="D149" i="7"/>
  <c r="C149" i="7"/>
  <c r="B149" i="7"/>
  <c r="A149" i="7"/>
  <c r="W148" i="7"/>
  <c r="V148" i="7"/>
  <c r="U148" i="7"/>
  <c r="T148" i="7"/>
  <c r="S148" i="7"/>
  <c r="R148" i="7"/>
  <c r="Q148" i="7"/>
  <c r="P148" i="7"/>
  <c r="O148" i="7"/>
  <c r="N148" i="7"/>
  <c r="M148" i="7"/>
  <c r="L148" i="7"/>
  <c r="K148" i="7"/>
  <c r="J148" i="7"/>
  <c r="I148" i="7"/>
  <c r="H148" i="7"/>
  <c r="G148" i="7"/>
  <c r="F148" i="7"/>
  <c r="E148" i="7"/>
  <c r="D148" i="7"/>
  <c r="C148" i="7"/>
  <c r="B148" i="7"/>
  <c r="A148" i="7"/>
  <c r="W147" i="7"/>
  <c r="V147" i="7"/>
  <c r="U147" i="7"/>
  <c r="T147" i="7"/>
  <c r="S147" i="7"/>
  <c r="R147" i="7"/>
  <c r="Q147" i="7"/>
  <c r="P147" i="7"/>
  <c r="O147" i="7"/>
  <c r="N147" i="7"/>
  <c r="M147" i="7"/>
  <c r="L147" i="7"/>
  <c r="K147" i="7"/>
  <c r="J147" i="7"/>
  <c r="I147" i="7"/>
  <c r="H147" i="7"/>
  <c r="G147" i="7"/>
  <c r="F147" i="7"/>
  <c r="E147" i="7"/>
  <c r="D147" i="7"/>
  <c r="C147" i="7"/>
  <c r="B147" i="7"/>
  <c r="A147" i="7"/>
  <c r="W146" i="7"/>
  <c r="V146" i="7"/>
  <c r="U146" i="7"/>
  <c r="T146" i="7"/>
  <c r="S146" i="7"/>
  <c r="R146" i="7"/>
  <c r="Q146" i="7"/>
  <c r="P146" i="7"/>
  <c r="O146" i="7"/>
  <c r="N146" i="7"/>
  <c r="M146" i="7"/>
  <c r="L146" i="7"/>
  <c r="K146" i="7"/>
  <c r="J146" i="7"/>
  <c r="I146" i="7"/>
  <c r="H146" i="7"/>
  <c r="G146" i="7"/>
  <c r="F146" i="7"/>
  <c r="E146" i="7"/>
  <c r="D146" i="7"/>
  <c r="C146" i="7"/>
  <c r="B146" i="7"/>
  <c r="A146" i="7"/>
  <c r="W145" i="7"/>
  <c r="V145" i="7"/>
  <c r="U145" i="7"/>
  <c r="T145" i="7"/>
  <c r="S145" i="7"/>
  <c r="R145" i="7"/>
  <c r="Q145" i="7"/>
  <c r="P145" i="7"/>
  <c r="O145" i="7"/>
  <c r="N145" i="7"/>
  <c r="M145" i="7"/>
  <c r="L145" i="7"/>
  <c r="K145" i="7"/>
  <c r="J145" i="7"/>
  <c r="I145" i="7"/>
  <c r="H145" i="7"/>
  <c r="G145" i="7"/>
  <c r="F145" i="7"/>
  <c r="E145" i="7"/>
  <c r="D145" i="7"/>
  <c r="C145" i="7"/>
  <c r="B145" i="7"/>
  <c r="A145" i="7"/>
  <c r="W144" i="7"/>
  <c r="V144" i="7"/>
  <c r="U144" i="7"/>
  <c r="T144" i="7"/>
  <c r="S144" i="7"/>
  <c r="R144" i="7"/>
  <c r="Q144" i="7"/>
  <c r="P144" i="7"/>
  <c r="O144" i="7"/>
  <c r="N144" i="7"/>
  <c r="M144" i="7"/>
  <c r="L144" i="7"/>
  <c r="K144" i="7"/>
  <c r="J144" i="7"/>
  <c r="I144" i="7"/>
  <c r="H144" i="7"/>
  <c r="G144" i="7"/>
  <c r="F144" i="7"/>
  <c r="E144" i="7"/>
  <c r="D144" i="7"/>
  <c r="C144" i="7"/>
  <c r="B144" i="7"/>
  <c r="A144" i="7"/>
  <c r="W143" i="7"/>
  <c r="V143" i="7"/>
  <c r="U143" i="7"/>
  <c r="T143" i="7"/>
  <c r="S143" i="7"/>
  <c r="R143" i="7"/>
  <c r="Q143" i="7"/>
  <c r="P143" i="7"/>
  <c r="O143" i="7"/>
  <c r="N143" i="7"/>
  <c r="M143" i="7"/>
  <c r="L143" i="7"/>
  <c r="K143" i="7"/>
  <c r="J143" i="7"/>
  <c r="I143" i="7"/>
  <c r="H143" i="7"/>
  <c r="G143" i="7"/>
  <c r="F143" i="7"/>
  <c r="E143" i="7"/>
  <c r="D143" i="7"/>
  <c r="C143" i="7"/>
  <c r="B143" i="7"/>
  <c r="A143" i="7"/>
  <c r="W142" i="7"/>
  <c r="V142" i="7"/>
  <c r="U142" i="7"/>
  <c r="T142" i="7"/>
  <c r="S142" i="7"/>
  <c r="R142" i="7"/>
  <c r="Q142" i="7"/>
  <c r="P142" i="7"/>
  <c r="O142" i="7"/>
  <c r="N142" i="7"/>
  <c r="M142" i="7"/>
  <c r="L142" i="7"/>
  <c r="K142" i="7"/>
  <c r="J142" i="7"/>
  <c r="I142" i="7"/>
  <c r="H142" i="7"/>
  <c r="G142" i="7"/>
  <c r="F142" i="7"/>
  <c r="E142" i="7"/>
  <c r="D142" i="7"/>
  <c r="C142" i="7"/>
  <c r="B142" i="7"/>
  <c r="A142" i="7"/>
  <c r="Z141" i="7"/>
  <c r="Y141" i="7"/>
  <c r="X141" i="7"/>
  <c r="W141" i="7"/>
  <c r="U141" i="7"/>
  <c r="T141" i="7"/>
  <c r="S141" i="7"/>
  <c r="R141" i="7"/>
  <c r="Q141" i="7"/>
  <c r="P141" i="7"/>
  <c r="O141" i="7"/>
  <c r="N141" i="7"/>
  <c r="M141" i="7"/>
  <c r="L141" i="7"/>
  <c r="K141" i="7"/>
  <c r="J141" i="7"/>
  <c r="I141" i="7"/>
  <c r="H141" i="7"/>
  <c r="G141" i="7"/>
  <c r="F141" i="7"/>
  <c r="E141" i="7"/>
  <c r="D141" i="7"/>
  <c r="C141" i="7"/>
  <c r="B141" i="7"/>
  <c r="A141" i="7"/>
  <c r="Z140" i="7"/>
  <c r="Y140" i="7"/>
  <c r="X140" i="7"/>
  <c r="W140" i="7"/>
  <c r="V140" i="7"/>
  <c r="U140" i="7"/>
  <c r="T140" i="7"/>
  <c r="S140" i="7"/>
  <c r="R140" i="7"/>
  <c r="Q140" i="7"/>
  <c r="P140" i="7"/>
  <c r="O140" i="7"/>
  <c r="N140" i="7"/>
  <c r="M140" i="7"/>
  <c r="L140" i="7"/>
  <c r="K140" i="7"/>
  <c r="J140" i="7"/>
  <c r="I140" i="7"/>
  <c r="H140" i="7"/>
  <c r="G140" i="7"/>
  <c r="F140" i="7"/>
  <c r="E140" i="7"/>
  <c r="D140" i="7"/>
  <c r="C140" i="7"/>
  <c r="B140" i="7"/>
  <c r="A140" i="7"/>
  <c r="Z139" i="7"/>
  <c r="Y139" i="7"/>
  <c r="X139" i="7"/>
  <c r="W139" i="7"/>
  <c r="V139" i="7"/>
  <c r="U139" i="7"/>
  <c r="T139" i="7"/>
  <c r="S139" i="7"/>
  <c r="R139" i="7"/>
  <c r="Q139" i="7"/>
  <c r="P139" i="7"/>
  <c r="O139" i="7"/>
  <c r="N139" i="7"/>
  <c r="M139" i="7"/>
  <c r="L139" i="7"/>
  <c r="K139" i="7"/>
  <c r="J139" i="7"/>
  <c r="I139" i="7"/>
  <c r="H139" i="7"/>
  <c r="G139" i="7"/>
  <c r="F139" i="7"/>
  <c r="E139" i="7"/>
  <c r="D139" i="7"/>
  <c r="C139" i="7"/>
  <c r="B139" i="7"/>
  <c r="A139" i="7"/>
  <c r="Z138" i="7"/>
  <c r="Y138" i="7"/>
  <c r="X138" i="7"/>
  <c r="W138" i="7"/>
  <c r="V138" i="7"/>
  <c r="U138" i="7"/>
  <c r="T138" i="7"/>
  <c r="S138" i="7"/>
  <c r="R138" i="7"/>
  <c r="Q138" i="7"/>
  <c r="P138" i="7"/>
  <c r="O138" i="7"/>
  <c r="N138" i="7"/>
  <c r="M138" i="7"/>
  <c r="L138" i="7"/>
  <c r="K138" i="7"/>
  <c r="J138" i="7"/>
  <c r="I138" i="7"/>
  <c r="H138" i="7"/>
  <c r="G138" i="7"/>
  <c r="F138" i="7"/>
  <c r="E138" i="7"/>
  <c r="D138" i="7"/>
  <c r="C138" i="7"/>
  <c r="B138" i="7"/>
  <c r="A138" i="7"/>
  <c r="Z137" i="7"/>
  <c r="Y137" i="7"/>
  <c r="X137" i="7"/>
  <c r="W137" i="7"/>
  <c r="V137" i="7"/>
  <c r="U137" i="7"/>
  <c r="S137" i="7"/>
  <c r="Q137" i="7"/>
  <c r="P137" i="7"/>
  <c r="O137" i="7"/>
  <c r="N137" i="7"/>
  <c r="M137" i="7"/>
  <c r="L137" i="7"/>
  <c r="K137" i="7"/>
  <c r="J137" i="7"/>
  <c r="I137" i="7"/>
  <c r="H137" i="7"/>
  <c r="G137" i="7"/>
  <c r="F137" i="7"/>
  <c r="E137" i="7"/>
  <c r="D137" i="7"/>
  <c r="C137" i="7"/>
  <c r="B137" i="7"/>
  <c r="A137" i="7"/>
  <c r="Z136" i="7"/>
  <c r="Y136" i="7"/>
  <c r="X136" i="7"/>
  <c r="W136" i="7"/>
  <c r="U136" i="7"/>
  <c r="T136" i="7"/>
  <c r="S136" i="7"/>
  <c r="R136" i="7"/>
  <c r="Q136" i="7"/>
  <c r="P136" i="7"/>
  <c r="O136" i="7"/>
  <c r="N136" i="7"/>
  <c r="M136" i="7"/>
  <c r="L136" i="7"/>
  <c r="K136" i="7"/>
  <c r="J136" i="7"/>
  <c r="I136" i="7"/>
  <c r="H136" i="7"/>
  <c r="G136" i="7"/>
  <c r="F136" i="7"/>
  <c r="E136" i="7"/>
  <c r="D136" i="7"/>
  <c r="C136" i="7"/>
  <c r="B136" i="7"/>
  <c r="A136" i="7"/>
  <c r="Z135" i="7"/>
  <c r="Y135" i="7"/>
  <c r="X135" i="7"/>
  <c r="W135" i="7"/>
  <c r="V135" i="7"/>
  <c r="U135" i="7"/>
  <c r="T135" i="7"/>
  <c r="S135" i="7"/>
  <c r="R135" i="7"/>
  <c r="Q135" i="7"/>
  <c r="P135" i="7"/>
  <c r="O135" i="7"/>
  <c r="N135" i="7"/>
  <c r="M135" i="7"/>
  <c r="L135" i="7"/>
  <c r="K135" i="7"/>
  <c r="J135" i="7"/>
  <c r="I135" i="7"/>
  <c r="H135" i="7"/>
  <c r="G135" i="7"/>
  <c r="F135" i="7"/>
  <c r="E135" i="7"/>
  <c r="D135" i="7"/>
  <c r="C135" i="7"/>
  <c r="B135" i="7"/>
  <c r="A135" i="7"/>
  <c r="Z134" i="7"/>
  <c r="Y134" i="7"/>
  <c r="X134" i="7"/>
  <c r="W134" i="7"/>
  <c r="V134" i="7"/>
  <c r="U134" i="7"/>
  <c r="T134" i="7"/>
  <c r="S134" i="7"/>
  <c r="R134" i="7"/>
  <c r="Q134" i="7"/>
  <c r="P134" i="7"/>
  <c r="O134" i="7"/>
  <c r="N134" i="7"/>
  <c r="M134" i="7"/>
  <c r="L134" i="7"/>
  <c r="K134" i="7"/>
  <c r="J134" i="7"/>
  <c r="I134" i="7"/>
  <c r="H134" i="7"/>
  <c r="G134" i="7"/>
  <c r="F134" i="7"/>
  <c r="E134" i="7"/>
  <c r="D134" i="7"/>
  <c r="C134" i="7"/>
  <c r="B134" i="7"/>
  <c r="A134" i="7"/>
  <c r="Z133" i="7"/>
  <c r="Y133" i="7"/>
  <c r="W133" i="7"/>
  <c r="V133" i="7"/>
  <c r="U133" i="7"/>
  <c r="T133" i="7"/>
  <c r="S133" i="7"/>
  <c r="R133" i="7"/>
  <c r="Q133" i="7"/>
  <c r="P133" i="7"/>
  <c r="O133" i="7"/>
  <c r="N133" i="7"/>
  <c r="M133" i="7"/>
  <c r="L133" i="7"/>
  <c r="K133" i="7"/>
  <c r="J133" i="7"/>
  <c r="I133" i="7"/>
  <c r="H133" i="7"/>
  <c r="G133" i="7"/>
  <c r="F133" i="7"/>
  <c r="E133" i="7"/>
  <c r="D133" i="7"/>
  <c r="C133" i="7"/>
  <c r="B133" i="7"/>
  <c r="A133" i="7"/>
  <c r="W132" i="7"/>
  <c r="U132" i="7"/>
  <c r="T132" i="7"/>
  <c r="S132" i="7"/>
  <c r="R132" i="7"/>
  <c r="Q132" i="7"/>
  <c r="P132" i="7"/>
  <c r="O132" i="7"/>
  <c r="N132" i="7"/>
  <c r="M132" i="7"/>
  <c r="L132" i="7"/>
  <c r="K132" i="7"/>
  <c r="J132" i="7"/>
  <c r="I132" i="7"/>
  <c r="H132" i="7"/>
  <c r="G132" i="7"/>
  <c r="F132" i="7"/>
  <c r="E132" i="7"/>
  <c r="D132" i="7"/>
  <c r="C132" i="7"/>
  <c r="B132" i="7"/>
  <c r="A132" i="7"/>
  <c r="Z131" i="7"/>
  <c r="Y131" i="7"/>
  <c r="X131" i="7"/>
  <c r="W131" i="7"/>
  <c r="V131" i="7"/>
  <c r="U131" i="7"/>
  <c r="T131" i="7"/>
  <c r="S131" i="7"/>
  <c r="R131" i="7"/>
  <c r="Q131" i="7"/>
  <c r="P131" i="7"/>
  <c r="O131" i="7"/>
  <c r="N131" i="7"/>
  <c r="M131" i="7"/>
  <c r="L131" i="7"/>
  <c r="K131" i="7"/>
  <c r="J131" i="7"/>
  <c r="I131" i="7"/>
  <c r="H131" i="7"/>
  <c r="G131" i="7"/>
  <c r="F131" i="7"/>
  <c r="E131" i="7"/>
  <c r="D131" i="7"/>
  <c r="C131" i="7"/>
  <c r="B131" i="7"/>
  <c r="A131" i="7"/>
  <c r="Z130" i="7"/>
  <c r="Y130" i="7"/>
  <c r="X130" i="7"/>
  <c r="W130" i="7"/>
  <c r="V130" i="7"/>
  <c r="U130" i="7"/>
  <c r="T130" i="7"/>
  <c r="S130" i="7"/>
  <c r="R130" i="7"/>
  <c r="Q130" i="7"/>
  <c r="P130" i="7"/>
  <c r="O130" i="7"/>
  <c r="N130" i="7"/>
  <c r="M130" i="7"/>
  <c r="L130" i="7"/>
  <c r="K130" i="7"/>
  <c r="J130" i="7"/>
  <c r="I130" i="7"/>
  <c r="H130" i="7"/>
  <c r="G130" i="7"/>
  <c r="F130" i="7"/>
  <c r="E130" i="7"/>
  <c r="D130" i="7"/>
  <c r="C130" i="7"/>
  <c r="B130" i="7"/>
  <c r="A130" i="7"/>
  <c r="Z129" i="7"/>
  <c r="Y129" i="7"/>
  <c r="W129" i="7"/>
  <c r="V129" i="7"/>
  <c r="U129" i="7"/>
  <c r="T129" i="7"/>
  <c r="S129" i="7"/>
  <c r="R129" i="7"/>
  <c r="Q129" i="7"/>
  <c r="P129" i="7"/>
  <c r="O129" i="7"/>
  <c r="N129" i="7"/>
  <c r="M129" i="7"/>
  <c r="L129" i="7"/>
  <c r="K129" i="7"/>
  <c r="J129" i="7"/>
  <c r="I129" i="7"/>
  <c r="H129" i="7"/>
  <c r="G129" i="7"/>
  <c r="F129" i="7"/>
  <c r="E129" i="7"/>
  <c r="D129" i="7"/>
  <c r="C129" i="7"/>
  <c r="B129" i="7"/>
  <c r="A129" i="7"/>
  <c r="Z128" i="7"/>
  <c r="Y128" i="7"/>
  <c r="W128" i="7"/>
  <c r="V128" i="7"/>
  <c r="U128" i="7"/>
  <c r="S128" i="7"/>
  <c r="R128" i="7"/>
  <c r="Q128" i="7"/>
  <c r="P128" i="7"/>
  <c r="O128" i="7"/>
  <c r="N128" i="7"/>
  <c r="M128" i="7"/>
  <c r="L128" i="7"/>
  <c r="K128" i="7"/>
  <c r="J128" i="7"/>
  <c r="I128" i="7"/>
  <c r="H128" i="7"/>
  <c r="G128" i="7"/>
  <c r="F128" i="7"/>
  <c r="E128" i="7"/>
  <c r="D128" i="7"/>
  <c r="C128" i="7"/>
  <c r="B128" i="7"/>
  <c r="A128" i="7"/>
  <c r="W127" i="7"/>
  <c r="V127" i="7"/>
  <c r="U127" i="7"/>
  <c r="T127" i="7"/>
  <c r="S127" i="7"/>
  <c r="R127" i="7"/>
  <c r="Q127" i="7"/>
  <c r="P127" i="7"/>
  <c r="O127" i="7"/>
  <c r="N127" i="7"/>
  <c r="M127" i="7"/>
  <c r="L127" i="7"/>
  <c r="K127" i="7"/>
  <c r="J127" i="7"/>
  <c r="I127" i="7"/>
  <c r="H127" i="7"/>
  <c r="G127" i="7"/>
  <c r="F127" i="7"/>
  <c r="E127" i="7"/>
  <c r="D127" i="7"/>
  <c r="C127" i="7"/>
  <c r="B127" i="7"/>
  <c r="A127" i="7"/>
  <c r="W126" i="7"/>
  <c r="V126" i="7"/>
  <c r="U126" i="7"/>
  <c r="T126" i="7"/>
  <c r="S126" i="7"/>
  <c r="R126" i="7"/>
  <c r="Q126" i="7"/>
  <c r="P126" i="7"/>
  <c r="O126" i="7"/>
  <c r="N126" i="7"/>
  <c r="M126" i="7"/>
  <c r="L126" i="7"/>
  <c r="K126" i="7"/>
  <c r="J126" i="7"/>
  <c r="I126" i="7"/>
  <c r="H126" i="7"/>
  <c r="G126" i="7"/>
  <c r="F126" i="7"/>
  <c r="E126" i="7"/>
  <c r="D126" i="7"/>
  <c r="C126" i="7"/>
  <c r="B126" i="7"/>
  <c r="A126" i="7"/>
  <c r="W125" i="7"/>
  <c r="V125" i="7"/>
  <c r="U125" i="7"/>
  <c r="T125" i="7"/>
  <c r="S125" i="7"/>
  <c r="R125" i="7"/>
  <c r="Q125" i="7"/>
  <c r="P125" i="7"/>
  <c r="O125" i="7"/>
  <c r="N125" i="7"/>
  <c r="M125" i="7"/>
  <c r="L125" i="7"/>
  <c r="K125" i="7"/>
  <c r="J125" i="7"/>
  <c r="I125" i="7"/>
  <c r="H125" i="7"/>
  <c r="G125" i="7"/>
  <c r="F125" i="7"/>
  <c r="E125" i="7"/>
  <c r="D125" i="7"/>
  <c r="C125" i="7"/>
  <c r="B125" i="7"/>
  <c r="A125" i="7"/>
  <c r="W124" i="7"/>
  <c r="V124" i="7"/>
  <c r="U124" i="7"/>
  <c r="T124" i="7"/>
  <c r="S124" i="7"/>
  <c r="R124" i="7"/>
  <c r="Q124" i="7"/>
  <c r="P124" i="7"/>
  <c r="O124" i="7"/>
  <c r="N124" i="7"/>
  <c r="M124" i="7"/>
  <c r="L124" i="7"/>
  <c r="K124" i="7"/>
  <c r="J124" i="7"/>
  <c r="I124" i="7"/>
  <c r="H124" i="7"/>
  <c r="G124" i="7"/>
  <c r="F124" i="7"/>
  <c r="E124" i="7"/>
  <c r="D124" i="7"/>
  <c r="C124" i="7"/>
  <c r="B124" i="7"/>
  <c r="A124" i="7"/>
  <c r="W123" i="7"/>
  <c r="V123" i="7"/>
  <c r="U123" i="7"/>
  <c r="T123" i="7"/>
  <c r="S123" i="7"/>
  <c r="R123" i="7"/>
  <c r="Q123" i="7"/>
  <c r="P123" i="7"/>
  <c r="O123" i="7"/>
  <c r="N123" i="7"/>
  <c r="M123" i="7"/>
  <c r="L123" i="7"/>
  <c r="K123" i="7"/>
  <c r="J123" i="7"/>
  <c r="I123" i="7"/>
  <c r="H123" i="7"/>
  <c r="G123" i="7"/>
  <c r="F123" i="7"/>
  <c r="E123" i="7"/>
  <c r="D123" i="7"/>
  <c r="C123" i="7"/>
  <c r="B123" i="7"/>
  <c r="A123" i="7"/>
  <c r="W122" i="7"/>
  <c r="V122" i="7"/>
  <c r="U122" i="7"/>
  <c r="T122" i="7"/>
  <c r="S122" i="7"/>
  <c r="R122" i="7"/>
  <c r="Q122" i="7"/>
  <c r="P122" i="7"/>
  <c r="O122" i="7"/>
  <c r="N122" i="7"/>
  <c r="M122" i="7"/>
  <c r="L122" i="7"/>
  <c r="K122" i="7"/>
  <c r="J122" i="7"/>
  <c r="I122" i="7"/>
  <c r="H122" i="7"/>
  <c r="G122" i="7"/>
  <c r="F122" i="7"/>
  <c r="E122" i="7"/>
  <c r="D122" i="7"/>
  <c r="C122" i="7"/>
  <c r="B122" i="7"/>
  <c r="A122" i="7"/>
  <c r="W121" i="7"/>
  <c r="V121" i="7"/>
  <c r="U121" i="7"/>
  <c r="T121" i="7"/>
  <c r="S121" i="7"/>
  <c r="R121" i="7"/>
  <c r="Q121" i="7"/>
  <c r="P121" i="7"/>
  <c r="O121" i="7"/>
  <c r="N121" i="7"/>
  <c r="M121" i="7"/>
  <c r="L121" i="7"/>
  <c r="K121" i="7"/>
  <c r="J121" i="7"/>
  <c r="I121" i="7"/>
  <c r="H121" i="7"/>
  <c r="G121" i="7"/>
  <c r="F121" i="7"/>
  <c r="E121" i="7"/>
  <c r="D121" i="7"/>
  <c r="C121" i="7"/>
  <c r="B121" i="7"/>
  <c r="A121" i="7"/>
  <c r="W120" i="7"/>
  <c r="V120" i="7"/>
  <c r="U120" i="7"/>
  <c r="T120" i="7"/>
  <c r="S120" i="7"/>
  <c r="R120" i="7"/>
  <c r="Q120" i="7"/>
  <c r="P120" i="7"/>
  <c r="O120" i="7"/>
  <c r="N120" i="7"/>
  <c r="M120" i="7"/>
  <c r="L120" i="7"/>
  <c r="K120" i="7"/>
  <c r="J120" i="7"/>
  <c r="I120" i="7"/>
  <c r="H120" i="7"/>
  <c r="G120" i="7"/>
  <c r="F120" i="7"/>
  <c r="E120" i="7"/>
  <c r="D120" i="7"/>
  <c r="C120" i="7"/>
  <c r="B120" i="7"/>
  <c r="A120" i="7"/>
  <c r="W119" i="7"/>
  <c r="V119" i="7"/>
  <c r="U119" i="7"/>
  <c r="T119" i="7"/>
  <c r="S119" i="7"/>
  <c r="R119" i="7"/>
  <c r="Q119" i="7"/>
  <c r="P119" i="7"/>
  <c r="O119" i="7"/>
  <c r="N119" i="7"/>
  <c r="M119" i="7"/>
  <c r="L119" i="7"/>
  <c r="K119" i="7"/>
  <c r="J119" i="7"/>
  <c r="I119" i="7"/>
  <c r="H119" i="7"/>
  <c r="G119" i="7"/>
  <c r="F119" i="7"/>
  <c r="E119" i="7"/>
  <c r="D119" i="7"/>
  <c r="C119" i="7"/>
  <c r="B119" i="7"/>
  <c r="A119" i="7"/>
  <c r="W118" i="7"/>
  <c r="V118" i="7"/>
  <c r="U118" i="7"/>
  <c r="T118" i="7"/>
  <c r="S118" i="7"/>
  <c r="R118" i="7"/>
  <c r="Q118" i="7"/>
  <c r="P118" i="7"/>
  <c r="O118" i="7"/>
  <c r="N118" i="7"/>
  <c r="M118" i="7"/>
  <c r="L118" i="7"/>
  <c r="K118" i="7"/>
  <c r="J118" i="7"/>
  <c r="I118" i="7"/>
  <c r="H118" i="7"/>
  <c r="G118" i="7"/>
  <c r="F118" i="7"/>
  <c r="E118" i="7"/>
  <c r="D118" i="7"/>
  <c r="C118" i="7"/>
  <c r="B118" i="7"/>
  <c r="A118" i="7"/>
  <c r="W117" i="7"/>
  <c r="V117" i="7"/>
  <c r="U117" i="7"/>
  <c r="T117" i="7"/>
  <c r="S117" i="7"/>
  <c r="R117" i="7"/>
  <c r="Q117" i="7"/>
  <c r="P117" i="7"/>
  <c r="O117" i="7"/>
  <c r="N117" i="7"/>
  <c r="M117" i="7"/>
  <c r="L117" i="7"/>
  <c r="K117" i="7"/>
  <c r="J117" i="7"/>
  <c r="I117" i="7"/>
  <c r="H117" i="7"/>
  <c r="G117" i="7"/>
  <c r="F117" i="7"/>
  <c r="E117" i="7"/>
  <c r="D117" i="7"/>
  <c r="C117" i="7"/>
  <c r="B117" i="7"/>
  <c r="A117" i="7"/>
  <c r="W116" i="7"/>
  <c r="V116" i="7"/>
  <c r="U116" i="7"/>
  <c r="T116" i="7"/>
  <c r="S116" i="7"/>
  <c r="R116" i="7"/>
  <c r="Q116" i="7"/>
  <c r="P116" i="7"/>
  <c r="O116" i="7"/>
  <c r="N116" i="7"/>
  <c r="M116" i="7"/>
  <c r="L116" i="7"/>
  <c r="K116" i="7"/>
  <c r="J116" i="7"/>
  <c r="I116" i="7"/>
  <c r="H116" i="7"/>
  <c r="G116" i="7"/>
  <c r="F116" i="7"/>
  <c r="E116" i="7"/>
  <c r="D116" i="7"/>
  <c r="C116" i="7"/>
  <c r="B116" i="7"/>
  <c r="A116" i="7"/>
  <c r="W115" i="7"/>
  <c r="V115" i="7"/>
  <c r="U115" i="7"/>
  <c r="T115" i="7"/>
  <c r="S115" i="7"/>
  <c r="R115" i="7"/>
  <c r="Q115" i="7"/>
  <c r="P115" i="7"/>
  <c r="O115" i="7"/>
  <c r="N115" i="7"/>
  <c r="M115" i="7"/>
  <c r="L115" i="7"/>
  <c r="K115" i="7"/>
  <c r="J115" i="7"/>
  <c r="I115" i="7"/>
  <c r="H115" i="7"/>
  <c r="G115" i="7"/>
  <c r="F115" i="7"/>
  <c r="E115" i="7"/>
  <c r="D115" i="7"/>
  <c r="C115" i="7"/>
  <c r="B115" i="7"/>
  <c r="A115" i="7"/>
  <c r="W114" i="7"/>
  <c r="V114" i="7"/>
  <c r="U114" i="7"/>
  <c r="T114" i="7"/>
  <c r="S114" i="7"/>
  <c r="R114" i="7"/>
  <c r="Q114" i="7"/>
  <c r="P114" i="7"/>
  <c r="O114" i="7"/>
  <c r="N114" i="7"/>
  <c r="M114" i="7"/>
  <c r="L114" i="7"/>
  <c r="K114" i="7"/>
  <c r="J114" i="7"/>
  <c r="I114" i="7"/>
  <c r="H114" i="7"/>
  <c r="G114" i="7"/>
  <c r="F114" i="7"/>
  <c r="E114" i="7"/>
  <c r="D114" i="7"/>
  <c r="C114" i="7"/>
  <c r="B114" i="7"/>
  <c r="A114" i="7"/>
  <c r="W113" i="7"/>
  <c r="V113" i="7"/>
  <c r="U113" i="7"/>
  <c r="T113" i="7"/>
  <c r="S113" i="7"/>
  <c r="R113" i="7"/>
  <c r="Q113" i="7"/>
  <c r="P113" i="7"/>
  <c r="O113" i="7"/>
  <c r="N113" i="7"/>
  <c r="M113" i="7"/>
  <c r="L113" i="7"/>
  <c r="K113" i="7"/>
  <c r="J113" i="7"/>
  <c r="I113" i="7"/>
  <c r="H113" i="7"/>
  <c r="G113" i="7"/>
  <c r="F113" i="7"/>
  <c r="E113" i="7"/>
  <c r="D113" i="7"/>
  <c r="C113" i="7"/>
  <c r="B113" i="7"/>
  <c r="A113" i="7"/>
  <c r="Z112" i="7"/>
  <c r="Y112" i="7"/>
  <c r="X112" i="7"/>
  <c r="W112" i="7"/>
  <c r="V112" i="7"/>
  <c r="U112" i="7"/>
  <c r="T112" i="7"/>
  <c r="S112" i="7"/>
  <c r="R112" i="7"/>
  <c r="Q112" i="7"/>
  <c r="P112" i="7"/>
  <c r="O112" i="7"/>
  <c r="N112" i="7"/>
  <c r="M112" i="7"/>
  <c r="L112" i="7"/>
  <c r="K112" i="7"/>
  <c r="J112" i="7"/>
  <c r="I112" i="7"/>
  <c r="H112" i="7"/>
  <c r="G112" i="7"/>
  <c r="F112" i="7"/>
  <c r="E112" i="7"/>
  <c r="D112" i="7"/>
  <c r="C112" i="7"/>
  <c r="B112" i="7"/>
  <c r="A112" i="7"/>
  <c r="W111" i="7"/>
  <c r="V111" i="7"/>
  <c r="U111" i="7"/>
  <c r="T111" i="7"/>
  <c r="S111" i="7"/>
  <c r="R111" i="7"/>
  <c r="Q111" i="7"/>
  <c r="P111" i="7"/>
  <c r="O111" i="7"/>
  <c r="N111" i="7"/>
  <c r="M111" i="7"/>
  <c r="L111" i="7"/>
  <c r="K111" i="7"/>
  <c r="J111" i="7"/>
  <c r="I111" i="7"/>
  <c r="H111" i="7"/>
  <c r="G111" i="7"/>
  <c r="F111" i="7"/>
  <c r="E111" i="7"/>
  <c r="D111" i="7"/>
  <c r="C111" i="7"/>
  <c r="B111" i="7"/>
  <c r="A111" i="7"/>
  <c r="Z110" i="7"/>
  <c r="Y110" i="7"/>
  <c r="X110" i="7"/>
  <c r="W110" i="7"/>
  <c r="V110" i="7"/>
  <c r="U110" i="7"/>
  <c r="T110" i="7"/>
  <c r="S110" i="7"/>
  <c r="R110" i="7"/>
  <c r="Q110" i="7"/>
  <c r="P110" i="7"/>
  <c r="O110" i="7"/>
  <c r="N110" i="7"/>
  <c r="M110" i="7"/>
  <c r="L110" i="7"/>
  <c r="K110" i="7"/>
  <c r="J110" i="7"/>
  <c r="I110" i="7"/>
  <c r="H110" i="7"/>
  <c r="G110" i="7"/>
  <c r="F110" i="7"/>
  <c r="E110" i="7"/>
  <c r="D110" i="7"/>
  <c r="C110" i="7"/>
  <c r="B110" i="7"/>
  <c r="A110" i="7"/>
  <c r="W109" i="7"/>
  <c r="V109" i="7"/>
  <c r="U109" i="7"/>
  <c r="T109" i="7"/>
  <c r="S109" i="7"/>
  <c r="R109" i="7"/>
  <c r="Q109" i="7"/>
  <c r="P109" i="7"/>
  <c r="O109" i="7"/>
  <c r="N109" i="7"/>
  <c r="M109" i="7"/>
  <c r="L109" i="7"/>
  <c r="K109" i="7"/>
  <c r="J109" i="7"/>
  <c r="I109" i="7"/>
  <c r="H109" i="7"/>
  <c r="G109" i="7"/>
  <c r="F109" i="7"/>
  <c r="E109" i="7"/>
  <c r="D109" i="7"/>
  <c r="C109" i="7"/>
  <c r="B109" i="7"/>
  <c r="A109" i="7"/>
  <c r="W108" i="7"/>
  <c r="V108" i="7"/>
  <c r="U108" i="7"/>
  <c r="T108" i="7"/>
  <c r="S108" i="7"/>
  <c r="R108" i="7"/>
  <c r="Q108" i="7"/>
  <c r="P108" i="7"/>
  <c r="O108" i="7"/>
  <c r="N108" i="7"/>
  <c r="M108" i="7"/>
  <c r="L108" i="7"/>
  <c r="K108" i="7"/>
  <c r="J108" i="7"/>
  <c r="I108" i="7"/>
  <c r="H108" i="7"/>
  <c r="G108" i="7"/>
  <c r="F108" i="7"/>
  <c r="E108" i="7"/>
  <c r="D108" i="7"/>
  <c r="C108" i="7"/>
  <c r="B108" i="7"/>
  <c r="A108" i="7"/>
  <c r="Z107" i="7"/>
  <c r="Y107" i="7"/>
  <c r="X107" i="7"/>
  <c r="W107" i="7"/>
  <c r="V107" i="7"/>
  <c r="U107" i="7"/>
  <c r="T107" i="7"/>
  <c r="S107" i="7"/>
  <c r="R107" i="7"/>
  <c r="Q107" i="7"/>
  <c r="P107" i="7"/>
  <c r="O107" i="7"/>
  <c r="N107" i="7"/>
  <c r="M107" i="7"/>
  <c r="L107" i="7"/>
  <c r="K107" i="7"/>
  <c r="J107" i="7"/>
  <c r="I107" i="7"/>
  <c r="H107" i="7"/>
  <c r="G107" i="7"/>
  <c r="F107" i="7"/>
  <c r="E107" i="7"/>
  <c r="D107" i="7"/>
  <c r="C107" i="7"/>
  <c r="B107" i="7"/>
  <c r="A107" i="7"/>
  <c r="Z106" i="7"/>
  <c r="Y106" i="7"/>
  <c r="X106" i="7"/>
  <c r="W106" i="7"/>
  <c r="V106" i="7"/>
  <c r="U106" i="7"/>
  <c r="T106" i="7"/>
  <c r="S106" i="7"/>
  <c r="R106" i="7"/>
  <c r="Q106" i="7"/>
  <c r="P106" i="7"/>
  <c r="O106" i="7"/>
  <c r="N106" i="7"/>
  <c r="M106" i="7"/>
  <c r="L106" i="7"/>
  <c r="K106" i="7"/>
  <c r="J106" i="7"/>
  <c r="I106" i="7"/>
  <c r="H106" i="7"/>
  <c r="G106" i="7"/>
  <c r="F106" i="7"/>
  <c r="E106" i="7"/>
  <c r="D106" i="7"/>
  <c r="C106" i="7"/>
  <c r="B106" i="7"/>
  <c r="A106" i="7"/>
  <c r="W105" i="7"/>
  <c r="V105" i="7"/>
  <c r="U105" i="7"/>
  <c r="T105" i="7"/>
  <c r="S105" i="7"/>
  <c r="R105" i="7"/>
  <c r="Q105" i="7"/>
  <c r="P105" i="7"/>
  <c r="O105" i="7"/>
  <c r="N105" i="7"/>
  <c r="M105" i="7"/>
  <c r="L105" i="7"/>
  <c r="K105" i="7"/>
  <c r="J105" i="7"/>
  <c r="I105" i="7"/>
  <c r="H105" i="7"/>
  <c r="G105" i="7"/>
  <c r="F105" i="7"/>
  <c r="E105" i="7"/>
  <c r="D105" i="7"/>
  <c r="C105" i="7"/>
  <c r="B105" i="7"/>
  <c r="A105" i="7"/>
  <c r="W104" i="7"/>
  <c r="V104" i="7"/>
  <c r="U104" i="7"/>
  <c r="T104" i="7"/>
  <c r="S104" i="7"/>
  <c r="R104" i="7"/>
  <c r="Q104" i="7"/>
  <c r="P104" i="7"/>
  <c r="O104" i="7"/>
  <c r="N104" i="7"/>
  <c r="M104" i="7"/>
  <c r="L104" i="7"/>
  <c r="K104" i="7"/>
  <c r="J104" i="7"/>
  <c r="I104" i="7"/>
  <c r="H104" i="7"/>
  <c r="G104" i="7"/>
  <c r="F104" i="7"/>
  <c r="E104" i="7"/>
  <c r="D104" i="7"/>
  <c r="C104" i="7"/>
  <c r="B104" i="7"/>
  <c r="A104" i="7"/>
  <c r="W103" i="7"/>
  <c r="V103" i="7"/>
  <c r="U103" i="7"/>
  <c r="T103" i="7"/>
  <c r="S103" i="7"/>
  <c r="R103" i="7"/>
  <c r="Q103" i="7"/>
  <c r="P103" i="7"/>
  <c r="O103" i="7"/>
  <c r="N103" i="7"/>
  <c r="M103" i="7"/>
  <c r="L103" i="7"/>
  <c r="K103" i="7"/>
  <c r="J103" i="7"/>
  <c r="I103" i="7"/>
  <c r="H103" i="7"/>
  <c r="G103" i="7"/>
  <c r="F103" i="7"/>
  <c r="E103" i="7"/>
  <c r="D103" i="7"/>
  <c r="C103" i="7"/>
  <c r="B103" i="7"/>
  <c r="A103" i="7"/>
  <c r="Z102" i="7"/>
  <c r="Y102" i="7"/>
  <c r="X102" i="7"/>
  <c r="W102" i="7"/>
  <c r="V102" i="7"/>
  <c r="U102" i="7"/>
  <c r="T102" i="7"/>
  <c r="S102" i="7"/>
  <c r="R102" i="7"/>
  <c r="Q102" i="7"/>
  <c r="P102" i="7"/>
  <c r="O102" i="7"/>
  <c r="N102" i="7"/>
  <c r="M102" i="7"/>
  <c r="L102" i="7"/>
  <c r="K102" i="7"/>
  <c r="J102" i="7"/>
  <c r="I102" i="7"/>
  <c r="H102" i="7"/>
  <c r="G102" i="7"/>
  <c r="F102" i="7"/>
  <c r="E102" i="7"/>
  <c r="D102" i="7"/>
  <c r="C102" i="7"/>
  <c r="B102" i="7"/>
  <c r="A102" i="7"/>
  <c r="W101" i="7"/>
  <c r="V101" i="7"/>
  <c r="U101" i="7"/>
  <c r="T101" i="7"/>
  <c r="S101" i="7"/>
  <c r="R101" i="7"/>
  <c r="Q101" i="7"/>
  <c r="P101" i="7"/>
  <c r="O101" i="7"/>
  <c r="N101" i="7"/>
  <c r="M101" i="7"/>
  <c r="L101" i="7"/>
  <c r="K101" i="7"/>
  <c r="J101" i="7"/>
  <c r="I101" i="7"/>
  <c r="H101" i="7"/>
  <c r="G101" i="7"/>
  <c r="F101" i="7"/>
  <c r="E101" i="7"/>
  <c r="D101" i="7"/>
  <c r="C101" i="7"/>
  <c r="B101" i="7"/>
  <c r="A101" i="7"/>
  <c r="W100" i="7"/>
  <c r="V100" i="7"/>
  <c r="U100" i="7"/>
  <c r="T100" i="7"/>
  <c r="S100" i="7"/>
  <c r="R100" i="7"/>
  <c r="Q100" i="7"/>
  <c r="P100" i="7"/>
  <c r="O100" i="7"/>
  <c r="N100" i="7"/>
  <c r="M100" i="7"/>
  <c r="L100" i="7"/>
  <c r="K100" i="7"/>
  <c r="J100" i="7"/>
  <c r="I100" i="7"/>
  <c r="H100" i="7"/>
  <c r="G100" i="7"/>
  <c r="F100" i="7"/>
  <c r="E100" i="7"/>
  <c r="D100" i="7"/>
  <c r="C100" i="7"/>
  <c r="B100" i="7"/>
  <c r="A100" i="7"/>
  <c r="W99" i="7"/>
  <c r="V99" i="7"/>
  <c r="U99" i="7"/>
  <c r="T99" i="7"/>
  <c r="S99" i="7"/>
  <c r="R99" i="7"/>
  <c r="Q99" i="7"/>
  <c r="P99" i="7"/>
  <c r="O99" i="7"/>
  <c r="N99" i="7"/>
  <c r="M99" i="7"/>
  <c r="L99" i="7"/>
  <c r="K99" i="7"/>
  <c r="J99" i="7"/>
  <c r="I99" i="7"/>
  <c r="H99" i="7"/>
  <c r="G99" i="7"/>
  <c r="F99" i="7"/>
  <c r="E99" i="7"/>
  <c r="D99" i="7"/>
  <c r="C99" i="7"/>
  <c r="B99" i="7"/>
  <c r="A99" i="7"/>
  <c r="Z98" i="7"/>
  <c r="Y98" i="7"/>
  <c r="X98" i="7"/>
  <c r="W98" i="7"/>
  <c r="V98" i="7"/>
  <c r="U98" i="7"/>
  <c r="T98" i="7"/>
  <c r="S98" i="7"/>
  <c r="R98" i="7"/>
  <c r="Q98" i="7"/>
  <c r="P98" i="7"/>
  <c r="O98" i="7"/>
  <c r="N98" i="7"/>
  <c r="M98" i="7"/>
  <c r="L98" i="7"/>
  <c r="K98" i="7"/>
  <c r="J98" i="7"/>
  <c r="I98" i="7"/>
  <c r="H98" i="7"/>
  <c r="G98" i="7"/>
  <c r="F98" i="7"/>
  <c r="E98" i="7"/>
  <c r="D98" i="7"/>
  <c r="C98" i="7"/>
  <c r="B98" i="7"/>
  <c r="A98" i="7"/>
  <c r="W97" i="7"/>
  <c r="V97" i="7"/>
  <c r="U97" i="7"/>
  <c r="T97" i="7"/>
  <c r="S97" i="7"/>
  <c r="R97" i="7"/>
  <c r="Q97" i="7"/>
  <c r="P97" i="7"/>
  <c r="O97" i="7"/>
  <c r="N97" i="7"/>
  <c r="M97" i="7"/>
  <c r="L97" i="7"/>
  <c r="K97" i="7"/>
  <c r="J97" i="7"/>
  <c r="I97" i="7"/>
  <c r="H97" i="7"/>
  <c r="G97" i="7"/>
  <c r="F97" i="7"/>
  <c r="E97" i="7"/>
  <c r="D97" i="7"/>
  <c r="C97" i="7"/>
  <c r="B97" i="7"/>
  <c r="A97" i="7"/>
  <c r="W96" i="7"/>
  <c r="V96" i="7"/>
  <c r="U96" i="7"/>
  <c r="T96" i="7"/>
  <c r="S96" i="7"/>
  <c r="R96" i="7"/>
  <c r="Q96" i="7"/>
  <c r="P96" i="7"/>
  <c r="O96" i="7"/>
  <c r="N96" i="7"/>
  <c r="M96" i="7"/>
  <c r="L96" i="7"/>
  <c r="K96" i="7"/>
  <c r="J96" i="7"/>
  <c r="I96" i="7"/>
  <c r="H96" i="7"/>
  <c r="G96" i="7"/>
  <c r="F96" i="7"/>
  <c r="E96" i="7"/>
  <c r="D96" i="7"/>
  <c r="C96" i="7"/>
  <c r="B96" i="7"/>
  <c r="A96" i="7"/>
  <c r="W95" i="7"/>
  <c r="V95" i="7"/>
  <c r="U95" i="7"/>
  <c r="T95" i="7"/>
  <c r="S95" i="7"/>
  <c r="R95" i="7"/>
  <c r="Q95" i="7"/>
  <c r="P95" i="7"/>
  <c r="O95" i="7"/>
  <c r="N95" i="7"/>
  <c r="M95" i="7"/>
  <c r="L95" i="7"/>
  <c r="K95" i="7"/>
  <c r="J95" i="7"/>
  <c r="I95" i="7"/>
  <c r="H95" i="7"/>
  <c r="G95" i="7"/>
  <c r="F95" i="7"/>
  <c r="E95" i="7"/>
  <c r="D95" i="7"/>
  <c r="C95" i="7"/>
  <c r="B95" i="7"/>
  <c r="A95" i="7"/>
  <c r="W94" i="7"/>
  <c r="V94" i="7"/>
  <c r="U94" i="7"/>
  <c r="T94" i="7"/>
  <c r="S94" i="7"/>
  <c r="R94" i="7"/>
  <c r="Q94" i="7"/>
  <c r="P94" i="7"/>
  <c r="O94" i="7"/>
  <c r="N94" i="7"/>
  <c r="M94" i="7"/>
  <c r="L94" i="7"/>
  <c r="K94" i="7"/>
  <c r="J94" i="7"/>
  <c r="I94" i="7"/>
  <c r="H94" i="7"/>
  <c r="G94" i="7"/>
  <c r="F94" i="7"/>
  <c r="E94" i="7"/>
  <c r="D94" i="7"/>
  <c r="C94" i="7"/>
  <c r="B94" i="7"/>
  <c r="A94" i="7"/>
  <c r="W93" i="7"/>
  <c r="V93" i="7"/>
  <c r="U93" i="7"/>
  <c r="T93" i="7"/>
  <c r="S93" i="7"/>
  <c r="R93" i="7"/>
  <c r="Q93" i="7"/>
  <c r="P93" i="7"/>
  <c r="O93" i="7"/>
  <c r="N93" i="7"/>
  <c r="M93" i="7"/>
  <c r="L93" i="7"/>
  <c r="K93" i="7"/>
  <c r="J93" i="7"/>
  <c r="I93" i="7"/>
  <c r="H93" i="7"/>
  <c r="G93" i="7"/>
  <c r="F93" i="7"/>
  <c r="E93" i="7"/>
  <c r="D93" i="7"/>
  <c r="C93" i="7"/>
  <c r="B93" i="7"/>
  <c r="A93" i="7"/>
  <c r="W92" i="7"/>
  <c r="V92" i="7"/>
  <c r="U92" i="7"/>
  <c r="T92" i="7"/>
  <c r="S92" i="7"/>
  <c r="R92" i="7"/>
  <c r="Q92" i="7"/>
  <c r="P92" i="7"/>
  <c r="O92" i="7"/>
  <c r="N92" i="7"/>
  <c r="M92" i="7"/>
  <c r="L92" i="7"/>
  <c r="K92" i="7"/>
  <c r="J92" i="7"/>
  <c r="I92" i="7"/>
  <c r="H92" i="7"/>
  <c r="G92" i="7"/>
  <c r="F92" i="7"/>
  <c r="E92" i="7"/>
  <c r="D92" i="7"/>
  <c r="C92" i="7"/>
  <c r="B92" i="7"/>
  <c r="A92" i="7"/>
  <c r="W91" i="7"/>
  <c r="V91" i="7"/>
  <c r="U91" i="7"/>
  <c r="T91" i="7"/>
  <c r="S91" i="7"/>
  <c r="R91" i="7"/>
  <c r="Q91" i="7"/>
  <c r="P91" i="7"/>
  <c r="O91" i="7"/>
  <c r="N91" i="7"/>
  <c r="M91" i="7"/>
  <c r="L91" i="7"/>
  <c r="K91" i="7"/>
  <c r="J91" i="7"/>
  <c r="I91" i="7"/>
  <c r="H91" i="7"/>
  <c r="G91" i="7"/>
  <c r="F91" i="7"/>
  <c r="E91" i="7"/>
  <c r="D91" i="7"/>
  <c r="C91" i="7"/>
  <c r="B91" i="7"/>
  <c r="A91" i="7"/>
  <c r="Z90" i="7"/>
  <c r="Y90" i="7"/>
  <c r="X90" i="7"/>
  <c r="W90" i="7"/>
  <c r="V90" i="7"/>
  <c r="U90" i="7"/>
  <c r="T90" i="7"/>
  <c r="S90" i="7"/>
  <c r="R90" i="7"/>
  <c r="Q90" i="7"/>
  <c r="P90" i="7"/>
  <c r="O90" i="7"/>
  <c r="N90" i="7"/>
  <c r="M90" i="7"/>
  <c r="L90" i="7"/>
  <c r="K90" i="7"/>
  <c r="J90" i="7"/>
  <c r="I90" i="7"/>
  <c r="H90" i="7"/>
  <c r="G90" i="7"/>
  <c r="F90" i="7"/>
  <c r="E90" i="7"/>
  <c r="D90" i="7"/>
  <c r="C90" i="7"/>
  <c r="B90" i="7"/>
  <c r="A90" i="7"/>
  <c r="W89" i="7"/>
  <c r="V89" i="7"/>
  <c r="U89" i="7"/>
  <c r="T89" i="7"/>
  <c r="S89" i="7"/>
  <c r="R89" i="7"/>
  <c r="Q89" i="7"/>
  <c r="P89" i="7"/>
  <c r="O89" i="7"/>
  <c r="N89" i="7"/>
  <c r="M89" i="7"/>
  <c r="L89" i="7"/>
  <c r="K89" i="7"/>
  <c r="J89" i="7"/>
  <c r="I89" i="7"/>
  <c r="H89" i="7"/>
  <c r="G89" i="7"/>
  <c r="F89" i="7"/>
  <c r="E89" i="7"/>
  <c r="D89" i="7"/>
  <c r="C89" i="7"/>
  <c r="B89" i="7"/>
  <c r="A89" i="7"/>
  <c r="W88" i="7"/>
  <c r="V88" i="7"/>
  <c r="U88" i="7"/>
  <c r="T88" i="7"/>
  <c r="S88" i="7"/>
  <c r="R88" i="7"/>
  <c r="Q88" i="7"/>
  <c r="P88" i="7"/>
  <c r="O88" i="7"/>
  <c r="N88" i="7"/>
  <c r="M88" i="7"/>
  <c r="L88" i="7"/>
  <c r="K88" i="7"/>
  <c r="J88" i="7"/>
  <c r="I88" i="7"/>
  <c r="H88" i="7"/>
  <c r="G88" i="7"/>
  <c r="F88" i="7"/>
  <c r="E88" i="7"/>
  <c r="D88" i="7"/>
  <c r="C88" i="7"/>
  <c r="B88" i="7"/>
  <c r="A88" i="7"/>
  <c r="Z87" i="7"/>
  <c r="Y87" i="7"/>
  <c r="X87" i="7"/>
  <c r="W87" i="7"/>
  <c r="V87" i="7"/>
  <c r="U87" i="7"/>
  <c r="T87" i="7"/>
  <c r="S87" i="7"/>
  <c r="R87" i="7"/>
  <c r="Q87" i="7"/>
  <c r="P87" i="7"/>
  <c r="O87" i="7"/>
  <c r="N87" i="7"/>
  <c r="M87" i="7"/>
  <c r="L87" i="7"/>
  <c r="K87" i="7"/>
  <c r="J87" i="7"/>
  <c r="I87" i="7"/>
  <c r="H87" i="7"/>
  <c r="G87" i="7"/>
  <c r="F87" i="7"/>
  <c r="E87" i="7"/>
  <c r="D87" i="7"/>
  <c r="C87" i="7"/>
  <c r="B87" i="7"/>
  <c r="A87" i="7"/>
  <c r="W86" i="7"/>
  <c r="V86" i="7"/>
  <c r="U86" i="7"/>
  <c r="T86" i="7"/>
  <c r="S86" i="7"/>
  <c r="R86" i="7"/>
  <c r="Q86" i="7"/>
  <c r="P86" i="7"/>
  <c r="O86" i="7"/>
  <c r="N86" i="7"/>
  <c r="M86" i="7"/>
  <c r="L86" i="7"/>
  <c r="K86" i="7"/>
  <c r="J86" i="7"/>
  <c r="I86" i="7"/>
  <c r="H86" i="7"/>
  <c r="G86" i="7"/>
  <c r="F86" i="7"/>
  <c r="E86" i="7"/>
  <c r="D86" i="7"/>
  <c r="C86" i="7"/>
  <c r="B86" i="7"/>
  <c r="A86" i="7"/>
  <c r="W85" i="7"/>
  <c r="V85" i="7"/>
  <c r="U85" i="7"/>
  <c r="T85" i="7"/>
  <c r="S85" i="7"/>
  <c r="R85" i="7"/>
  <c r="Q85" i="7"/>
  <c r="P85" i="7"/>
  <c r="O85" i="7"/>
  <c r="N85" i="7"/>
  <c r="M85" i="7"/>
  <c r="L85" i="7"/>
  <c r="K85" i="7"/>
  <c r="J85" i="7"/>
  <c r="I85" i="7"/>
  <c r="H85" i="7"/>
  <c r="G85" i="7"/>
  <c r="F85" i="7"/>
  <c r="E85" i="7"/>
  <c r="D85" i="7"/>
  <c r="C85" i="7"/>
  <c r="B85" i="7"/>
  <c r="A85" i="7"/>
  <c r="W84" i="7"/>
  <c r="V84" i="7"/>
  <c r="U84" i="7"/>
  <c r="T84" i="7"/>
  <c r="S84" i="7"/>
  <c r="R84" i="7"/>
  <c r="Q84" i="7"/>
  <c r="P84" i="7"/>
  <c r="O84" i="7"/>
  <c r="N84" i="7"/>
  <c r="M84" i="7"/>
  <c r="L84" i="7"/>
  <c r="K84" i="7"/>
  <c r="J84" i="7"/>
  <c r="I84" i="7"/>
  <c r="H84" i="7"/>
  <c r="G84" i="7"/>
  <c r="F84" i="7"/>
  <c r="E84" i="7"/>
  <c r="D84" i="7"/>
  <c r="C84" i="7"/>
  <c r="B84" i="7"/>
  <c r="A84" i="7"/>
  <c r="W83" i="7"/>
  <c r="V83" i="7"/>
  <c r="U83" i="7"/>
  <c r="T83" i="7"/>
  <c r="S83" i="7"/>
  <c r="R83" i="7"/>
  <c r="Q83" i="7"/>
  <c r="P83" i="7"/>
  <c r="O83" i="7"/>
  <c r="N83" i="7"/>
  <c r="M83" i="7"/>
  <c r="L83" i="7"/>
  <c r="K83" i="7"/>
  <c r="J83" i="7"/>
  <c r="I83" i="7"/>
  <c r="H83" i="7"/>
  <c r="G83" i="7"/>
  <c r="F83" i="7"/>
  <c r="E83" i="7"/>
  <c r="D83" i="7"/>
  <c r="C83" i="7"/>
  <c r="B83" i="7"/>
  <c r="A83" i="7"/>
  <c r="W82" i="7"/>
  <c r="V82" i="7"/>
  <c r="U82" i="7"/>
  <c r="T82" i="7"/>
  <c r="S82" i="7"/>
  <c r="R82" i="7"/>
  <c r="Q82" i="7"/>
  <c r="P82" i="7"/>
  <c r="O82" i="7"/>
  <c r="N82" i="7"/>
  <c r="M82" i="7"/>
  <c r="L82" i="7"/>
  <c r="K82" i="7"/>
  <c r="J82" i="7"/>
  <c r="I82" i="7"/>
  <c r="H82" i="7"/>
  <c r="G82" i="7"/>
  <c r="F82" i="7"/>
  <c r="E82" i="7"/>
  <c r="D82" i="7"/>
  <c r="C82" i="7"/>
  <c r="B82" i="7"/>
  <c r="A82" i="7"/>
  <c r="W81" i="7"/>
  <c r="V81" i="7"/>
  <c r="U81" i="7"/>
  <c r="T81" i="7"/>
  <c r="S81" i="7"/>
  <c r="R81" i="7"/>
  <c r="Q81" i="7"/>
  <c r="P81" i="7"/>
  <c r="O81" i="7"/>
  <c r="N81" i="7"/>
  <c r="M81" i="7"/>
  <c r="L81" i="7"/>
  <c r="K81" i="7"/>
  <c r="J81" i="7"/>
  <c r="I81" i="7"/>
  <c r="H81" i="7"/>
  <c r="G81" i="7"/>
  <c r="F81" i="7"/>
  <c r="E81" i="7"/>
  <c r="D81" i="7"/>
  <c r="C81" i="7"/>
  <c r="B81" i="7"/>
  <c r="A81" i="7"/>
  <c r="W80" i="7"/>
  <c r="V80" i="7"/>
  <c r="U80" i="7"/>
  <c r="T80" i="7"/>
  <c r="S80" i="7"/>
  <c r="R80" i="7"/>
  <c r="Q80" i="7"/>
  <c r="P80" i="7"/>
  <c r="O80" i="7"/>
  <c r="N80" i="7"/>
  <c r="M80" i="7"/>
  <c r="L80" i="7"/>
  <c r="K80" i="7"/>
  <c r="J80" i="7"/>
  <c r="I80" i="7"/>
  <c r="H80" i="7"/>
  <c r="G80" i="7"/>
  <c r="F80" i="7"/>
  <c r="E80" i="7"/>
  <c r="D80" i="7"/>
  <c r="C80" i="7"/>
  <c r="B80" i="7"/>
  <c r="A80" i="7"/>
  <c r="W79" i="7"/>
  <c r="V79" i="7"/>
  <c r="U79" i="7"/>
  <c r="T79" i="7"/>
  <c r="S79" i="7"/>
  <c r="R79" i="7"/>
  <c r="Q79" i="7"/>
  <c r="P79" i="7"/>
  <c r="O79" i="7"/>
  <c r="N79" i="7"/>
  <c r="M79" i="7"/>
  <c r="L79" i="7"/>
  <c r="K79" i="7"/>
  <c r="J79" i="7"/>
  <c r="I79" i="7"/>
  <c r="H79" i="7"/>
  <c r="G79" i="7"/>
  <c r="F79" i="7"/>
  <c r="E79" i="7"/>
  <c r="D79" i="7"/>
  <c r="C79" i="7"/>
  <c r="B79" i="7"/>
  <c r="A79" i="7"/>
  <c r="W78" i="7"/>
  <c r="V78" i="7"/>
  <c r="U78" i="7"/>
  <c r="T78" i="7"/>
  <c r="S78" i="7"/>
  <c r="R78" i="7"/>
  <c r="Q78" i="7"/>
  <c r="P78" i="7"/>
  <c r="O78" i="7"/>
  <c r="N78" i="7"/>
  <c r="M78" i="7"/>
  <c r="L78" i="7"/>
  <c r="K78" i="7"/>
  <c r="J78" i="7"/>
  <c r="I78" i="7"/>
  <c r="H78" i="7"/>
  <c r="G78" i="7"/>
  <c r="F78" i="7"/>
  <c r="E78" i="7"/>
  <c r="D78" i="7"/>
  <c r="C78" i="7"/>
  <c r="B78" i="7"/>
  <c r="A78" i="7"/>
  <c r="Z77" i="7"/>
  <c r="Y77" i="7"/>
  <c r="X77" i="7"/>
  <c r="W77" i="7"/>
  <c r="V77" i="7"/>
  <c r="U77" i="7"/>
  <c r="T77" i="7"/>
  <c r="S77" i="7"/>
  <c r="R77" i="7"/>
  <c r="Q77" i="7"/>
  <c r="P77" i="7"/>
  <c r="O77" i="7"/>
  <c r="N77" i="7"/>
  <c r="M77" i="7"/>
  <c r="L77" i="7"/>
  <c r="K77" i="7"/>
  <c r="J77" i="7"/>
  <c r="I77" i="7"/>
  <c r="H77" i="7"/>
  <c r="G77" i="7"/>
  <c r="F77" i="7"/>
  <c r="E77" i="7"/>
  <c r="D77" i="7"/>
  <c r="C77" i="7"/>
  <c r="B77" i="7"/>
  <c r="A77" i="7"/>
  <c r="W76" i="7"/>
  <c r="V76" i="7"/>
  <c r="U76" i="7"/>
  <c r="T76" i="7"/>
  <c r="S76" i="7"/>
  <c r="R76" i="7"/>
  <c r="Q76" i="7"/>
  <c r="P76" i="7"/>
  <c r="O76" i="7"/>
  <c r="N76" i="7"/>
  <c r="M76" i="7"/>
  <c r="L76" i="7"/>
  <c r="K76" i="7"/>
  <c r="J76" i="7"/>
  <c r="I76" i="7"/>
  <c r="H76" i="7"/>
  <c r="G76" i="7"/>
  <c r="F76" i="7"/>
  <c r="E76" i="7"/>
  <c r="D76" i="7"/>
  <c r="C76" i="7"/>
  <c r="B76" i="7"/>
  <c r="A76" i="7"/>
  <c r="W75" i="7"/>
  <c r="V75" i="7"/>
  <c r="U75" i="7"/>
  <c r="T75" i="7"/>
  <c r="S75" i="7"/>
  <c r="R75" i="7"/>
  <c r="Q75" i="7"/>
  <c r="P75" i="7"/>
  <c r="O75" i="7"/>
  <c r="N75" i="7"/>
  <c r="M75" i="7"/>
  <c r="L75" i="7"/>
  <c r="K75" i="7"/>
  <c r="J75" i="7"/>
  <c r="I75" i="7"/>
  <c r="H75" i="7"/>
  <c r="G75" i="7"/>
  <c r="F75" i="7"/>
  <c r="E75" i="7"/>
  <c r="D75" i="7"/>
  <c r="C75" i="7"/>
  <c r="B75" i="7"/>
  <c r="A75" i="7"/>
  <c r="W74" i="7"/>
  <c r="V74" i="7"/>
  <c r="U74" i="7"/>
  <c r="T74" i="7"/>
  <c r="S74" i="7"/>
  <c r="R74" i="7"/>
  <c r="Q74" i="7"/>
  <c r="P74" i="7"/>
  <c r="O74" i="7"/>
  <c r="N74" i="7"/>
  <c r="M74" i="7"/>
  <c r="L74" i="7"/>
  <c r="K74" i="7"/>
  <c r="J74" i="7"/>
  <c r="I74" i="7"/>
  <c r="H74" i="7"/>
  <c r="G74" i="7"/>
  <c r="F74" i="7"/>
  <c r="E74" i="7"/>
  <c r="D74" i="7"/>
  <c r="C74" i="7"/>
  <c r="B74" i="7"/>
  <c r="A74" i="7"/>
  <c r="W73" i="7"/>
  <c r="V73" i="7"/>
  <c r="U73" i="7"/>
  <c r="T73" i="7"/>
  <c r="S73" i="7"/>
  <c r="R73" i="7"/>
  <c r="Q73" i="7"/>
  <c r="P73" i="7"/>
  <c r="O73" i="7"/>
  <c r="N73" i="7"/>
  <c r="M73" i="7"/>
  <c r="L73" i="7"/>
  <c r="K73" i="7"/>
  <c r="J73" i="7"/>
  <c r="I73" i="7"/>
  <c r="H73" i="7"/>
  <c r="G73" i="7"/>
  <c r="F73" i="7"/>
  <c r="E73" i="7"/>
  <c r="D73" i="7"/>
  <c r="C73" i="7"/>
  <c r="B73" i="7"/>
  <c r="A73" i="7"/>
  <c r="Z72" i="7"/>
  <c r="Y72" i="7"/>
  <c r="X72" i="7"/>
  <c r="W72" i="7"/>
  <c r="V72" i="7"/>
  <c r="U72" i="7"/>
  <c r="T72" i="7"/>
  <c r="S72" i="7"/>
  <c r="R72" i="7"/>
  <c r="Q72" i="7"/>
  <c r="P72" i="7"/>
  <c r="O72" i="7"/>
  <c r="N72" i="7"/>
  <c r="M72" i="7"/>
  <c r="L72" i="7"/>
  <c r="K72" i="7"/>
  <c r="J72" i="7"/>
  <c r="I72" i="7"/>
  <c r="H72" i="7"/>
  <c r="G72" i="7"/>
  <c r="F72" i="7"/>
  <c r="E72" i="7"/>
  <c r="D72" i="7"/>
  <c r="C72" i="7"/>
  <c r="B72" i="7"/>
  <c r="A72" i="7"/>
  <c r="Z71" i="7"/>
  <c r="Y71" i="7"/>
  <c r="X71" i="7"/>
  <c r="W71" i="7"/>
  <c r="V71" i="7"/>
  <c r="U71" i="7"/>
  <c r="T71" i="7"/>
  <c r="S71" i="7"/>
  <c r="R71" i="7"/>
  <c r="Q71" i="7"/>
  <c r="P71" i="7"/>
  <c r="O71" i="7"/>
  <c r="N71" i="7"/>
  <c r="M71" i="7"/>
  <c r="L71" i="7"/>
  <c r="K71" i="7"/>
  <c r="J71" i="7"/>
  <c r="I71" i="7"/>
  <c r="H71" i="7"/>
  <c r="G71" i="7"/>
  <c r="F71" i="7"/>
  <c r="E71" i="7"/>
  <c r="D71" i="7"/>
  <c r="C71" i="7"/>
  <c r="B71" i="7"/>
  <c r="A71" i="7"/>
  <c r="Z70" i="7"/>
  <c r="Y70" i="7"/>
  <c r="X70" i="7"/>
  <c r="W70" i="7"/>
  <c r="V70" i="7"/>
  <c r="U70" i="7"/>
  <c r="T70" i="7"/>
  <c r="S70" i="7"/>
  <c r="R70" i="7"/>
  <c r="Q70" i="7"/>
  <c r="P70" i="7"/>
  <c r="O70" i="7"/>
  <c r="N70" i="7"/>
  <c r="M70" i="7"/>
  <c r="L70" i="7"/>
  <c r="K70" i="7"/>
  <c r="J70" i="7"/>
  <c r="I70" i="7"/>
  <c r="H70" i="7"/>
  <c r="G70" i="7"/>
  <c r="F70" i="7"/>
  <c r="E70" i="7"/>
  <c r="D70" i="7"/>
  <c r="C70" i="7"/>
  <c r="B70" i="7"/>
  <c r="A70" i="7"/>
  <c r="Z69" i="7"/>
  <c r="Y69" i="7"/>
  <c r="X69" i="7"/>
  <c r="W69" i="7"/>
  <c r="V69" i="7"/>
  <c r="U69" i="7"/>
  <c r="T69" i="7"/>
  <c r="S69" i="7"/>
  <c r="R69" i="7"/>
  <c r="Q69" i="7"/>
  <c r="P69" i="7"/>
  <c r="O69" i="7"/>
  <c r="N69" i="7"/>
  <c r="M69" i="7"/>
  <c r="L69" i="7"/>
  <c r="K69" i="7"/>
  <c r="J69" i="7"/>
  <c r="I69" i="7"/>
  <c r="H69" i="7"/>
  <c r="G69" i="7"/>
  <c r="F69" i="7"/>
  <c r="E69" i="7"/>
  <c r="D69" i="7"/>
  <c r="C69" i="7"/>
  <c r="B69" i="7"/>
  <c r="A69" i="7"/>
  <c r="Z68" i="7"/>
  <c r="Y68" i="7"/>
  <c r="X68" i="7"/>
  <c r="W68" i="7"/>
  <c r="V68" i="7"/>
  <c r="U68" i="7"/>
  <c r="T68" i="7"/>
  <c r="S68" i="7"/>
  <c r="R68" i="7"/>
  <c r="Q68" i="7"/>
  <c r="P68" i="7"/>
  <c r="O68" i="7"/>
  <c r="N68" i="7"/>
  <c r="M68" i="7"/>
  <c r="L68" i="7"/>
  <c r="K68" i="7"/>
  <c r="J68" i="7"/>
  <c r="I68" i="7"/>
  <c r="H68" i="7"/>
  <c r="G68" i="7"/>
  <c r="F68" i="7"/>
  <c r="E68" i="7"/>
  <c r="D68" i="7"/>
  <c r="C68" i="7"/>
  <c r="B68" i="7"/>
  <c r="A68" i="7"/>
  <c r="Z67" i="7"/>
  <c r="Y67" i="7"/>
  <c r="X67" i="7"/>
  <c r="W67" i="7"/>
  <c r="V67" i="7"/>
  <c r="U67" i="7"/>
  <c r="T67" i="7"/>
  <c r="S67" i="7"/>
  <c r="R67" i="7"/>
  <c r="Q67" i="7"/>
  <c r="P67" i="7"/>
  <c r="O67" i="7"/>
  <c r="N67" i="7"/>
  <c r="M67" i="7"/>
  <c r="L67" i="7"/>
  <c r="K67" i="7"/>
  <c r="J67" i="7"/>
  <c r="I67" i="7"/>
  <c r="H67" i="7"/>
  <c r="G67" i="7"/>
  <c r="F67" i="7"/>
  <c r="E67" i="7"/>
  <c r="D67" i="7"/>
  <c r="C67" i="7"/>
  <c r="B67" i="7"/>
  <c r="A67" i="7"/>
  <c r="Z66" i="7"/>
  <c r="Y66" i="7"/>
  <c r="X66" i="7"/>
  <c r="W66" i="7"/>
  <c r="V66" i="7"/>
  <c r="U66" i="7"/>
  <c r="T66" i="7"/>
  <c r="S66" i="7"/>
  <c r="R66" i="7"/>
  <c r="Q66" i="7"/>
  <c r="P66" i="7"/>
  <c r="O66" i="7"/>
  <c r="N66" i="7"/>
  <c r="M66" i="7"/>
  <c r="L66" i="7"/>
  <c r="K66" i="7"/>
  <c r="J66" i="7"/>
  <c r="I66" i="7"/>
  <c r="H66" i="7"/>
  <c r="G66" i="7"/>
  <c r="F66" i="7"/>
  <c r="E66" i="7"/>
  <c r="D66" i="7"/>
  <c r="C66" i="7"/>
  <c r="B66" i="7"/>
  <c r="A66" i="7"/>
  <c r="Z65" i="7"/>
  <c r="Y65" i="7"/>
  <c r="X65" i="7"/>
  <c r="W65" i="7"/>
  <c r="V65" i="7"/>
  <c r="U65" i="7"/>
  <c r="T65" i="7"/>
  <c r="S65" i="7"/>
  <c r="R65" i="7"/>
  <c r="Q65" i="7"/>
  <c r="P65" i="7"/>
  <c r="O65" i="7"/>
  <c r="N65" i="7"/>
  <c r="M65" i="7"/>
  <c r="L65" i="7"/>
  <c r="K65" i="7"/>
  <c r="J65" i="7"/>
  <c r="I65" i="7"/>
  <c r="H65" i="7"/>
  <c r="G65" i="7"/>
  <c r="F65" i="7"/>
  <c r="E65" i="7"/>
  <c r="D65" i="7"/>
  <c r="C65" i="7"/>
  <c r="B65" i="7"/>
  <c r="A65" i="7"/>
  <c r="Z64" i="7"/>
  <c r="Y64" i="7"/>
  <c r="X64" i="7"/>
  <c r="W64" i="7"/>
  <c r="V64" i="7"/>
  <c r="U64" i="7"/>
  <c r="T64" i="7"/>
  <c r="S64" i="7"/>
  <c r="R64" i="7"/>
  <c r="Q64" i="7"/>
  <c r="P64" i="7"/>
  <c r="O64" i="7"/>
  <c r="N64" i="7"/>
  <c r="M64" i="7"/>
  <c r="L64" i="7"/>
  <c r="K64" i="7"/>
  <c r="J64" i="7"/>
  <c r="I64" i="7"/>
  <c r="H64" i="7"/>
  <c r="G64" i="7"/>
  <c r="F64" i="7"/>
  <c r="E64" i="7"/>
  <c r="D64" i="7"/>
  <c r="C64" i="7"/>
  <c r="B64" i="7"/>
  <c r="A64" i="7"/>
  <c r="Z63" i="7"/>
  <c r="Y63" i="7"/>
  <c r="X63" i="7"/>
  <c r="W63" i="7"/>
  <c r="V63" i="7"/>
  <c r="U63" i="7"/>
  <c r="T63" i="7"/>
  <c r="S63" i="7"/>
  <c r="R63" i="7"/>
  <c r="Q63" i="7"/>
  <c r="P63" i="7"/>
  <c r="O63" i="7"/>
  <c r="N63" i="7"/>
  <c r="M63" i="7"/>
  <c r="L63" i="7"/>
  <c r="K63" i="7"/>
  <c r="J63" i="7"/>
  <c r="I63" i="7"/>
  <c r="H63" i="7"/>
  <c r="G63" i="7"/>
  <c r="F63" i="7"/>
  <c r="E63" i="7"/>
  <c r="D63" i="7"/>
  <c r="C63" i="7"/>
  <c r="B63" i="7"/>
  <c r="A63" i="7"/>
  <c r="Z62" i="7"/>
  <c r="Y62" i="7"/>
  <c r="X62" i="7"/>
  <c r="W62" i="7"/>
  <c r="V62" i="7"/>
  <c r="U62" i="7"/>
  <c r="T62" i="7"/>
  <c r="S62" i="7"/>
  <c r="R62" i="7"/>
  <c r="Q62" i="7"/>
  <c r="P62" i="7"/>
  <c r="O62" i="7"/>
  <c r="N62" i="7"/>
  <c r="M62" i="7"/>
  <c r="L62" i="7"/>
  <c r="K62" i="7"/>
  <c r="J62" i="7"/>
  <c r="I62" i="7"/>
  <c r="H62" i="7"/>
  <c r="G62" i="7"/>
  <c r="F62" i="7"/>
  <c r="E62" i="7"/>
  <c r="D62" i="7"/>
  <c r="C62" i="7"/>
  <c r="B62" i="7"/>
  <c r="A62" i="7"/>
  <c r="Z61" i="7"/>
  <c r="Y61" i="7"/>
  <c r="X61" i="7"/>
  <c r="W61" i="7"/>
  <c r="V61" i="7"/>
  <c r="U61" i="7"/>
  <c r="T61" i="7"/>
  <c r="S61" i="7"/>
  <c r="R61" i="7"/>
  <c r="Q61" i="7"/>
  <c r="P61" i="7"/>
  <c r="O61" i="7"/>
  <c r="N61" i="7"/>
  <c r="M61" i="7"/>
  <c r="L61" i="7"/>
  <c r="K61" i="7"/>
  <c r="J61" i="7"/>
  <c r="I61" i="7"/>
  <c r="H61" i="7"/>
  <c r="G61" i="7"/>
  <c r="F61" i="7"/>
  <c r="E61" i="7"/>
  <c r="D61" i="7"/>
  <c r="C61" i="7"/>
  <c r="B61" i="7"/>
  <c r="A61" i="7"/>
  <c r="Z60" i="7"/>
  <c r="Y60" i="7"/>
  <c r="X60" i="7"/>
  <c r="W60" i="7"/>
  <c r="V60" i="7"/>
  <c r="U60" i="7"/>
  <c r="T60" i="7"/>
  <c r="S60" i="7"/>
  <c r="R60" i="7"/>
  <c r="Q60" i="7"/>
  <c r="P60" i="7"/>
  <c r="O60" i="7"/>
  <c r="N60" i="7"/>
  <c r="M60" i="7"/>
  <c r="L60" i="7"/>
  <c r="K60" i="7"/>
  <c r="J60" i="7"/>
  <c r="I60" i="7"/>
  <c r="H60" i="7"/>
  <c r="G60" i="7"/>
  <c r="F60" i="7"/>
  <c r="E60" i="7"/>
  <c r="D60" i="7"/>
  <c r="C60" i="7"/>
  <c r="B60" i="7"/>
  <c r="A60" i="7"/>
  <c r="W59" i="7"/>
  <c r="V59" i="7"/>
  <c r="U59" i="7"/>
  <c r="T59" i="7"/>
  <c r="S59" i="7"/>
  <c r="R59" i="7"/>
  <c r="Q59" i="7"/>
  <c r="P59" i="7"/>
  <c r="O59" i="7"/>
  <c r="N59" i="7"/>
  <c r="M59" i="7"/>
  <c r="L59" i="7"/>
  <c r="K59" i="7"/>
  <c r="J59" i="7"/>
  <c r="I59" i="7"/>
  <c r="H59" i="7"/>
  <c r="G59" i="7"/>
  <c r="F59" i="7"/>
  <c r="E59" i="7"/>
  <c r="D59" i="7"/>
  <c r="C59" i="7"/>
  <c r="B59" i="7"/>
  <c r="A59" i="7"/>
  <c r="Z58" i="7"/>
  <c r="Y58" i="7"/>
  <c r="X58" i="7"/>
  <c r="W58" i="7"/>
  <c r="V58" i="7"/>
  <c r="U58" i="7"/>
  <c r="T58" i="7"/>
  <c r="S58" i="7"/>
  <c r="R58" i="7"/>
  <c r="Q58" i="7"/>
  <c r="P58" i="7"/>
  <c r="O58" i="7"/>
  <c r="N58" i="7"/>
  <c r="M58" i="7"/>
  <c r="L58" i="7"/>
  <c r="K58" i="7"/>
  <c r="J58" i="7"/>
  <c r="I58" i="7"/>
  <c r="H58" i="7"/>
  <c r="G58" i="7"/>
  <c r="F58" i="7"/>
  <c r="E58" i="7"/>
  <c r="D58" i="7"/>
  <c r="C58" i="7"/>
  <c r="B58" i="7"/>
  <c r="A58" i="7"/>
  <c r="Z57" i="7"/>
  <c r="Y57" i="7"/>
  <c r="X57" i="7"/>
  <c r="W57" i="7"/>
  <c r="V57" i="7"/>
  <c r="U57" i="7"/>
  <c r="T57" i="7"/>
  <c r="S57" i="7"/>
  <c r="R57" i="7"/>
  <c r="Q57" i="7"/>
  <c r="P57" i="7"/>
  <c r="O57" i="7"/>
  <c r="N57" i="7"/>
  <c r="M57" i="7"/>
  <c r="L57" i="7"/>
  <c r="K57" i="7"/>
  <c r="J57" i="7"/>
  <c r="I57" i="7"/>
  <c r="H57" i="7"/>
  <c r="G57" i="7"/>
  <c r="F57" i="7"/>
  <c r="E57" i="7"/>
  <c r="D57" i="7"/>
  <c r="C57" i="7"/>
  <c r="B57" i="7"/>
  <c r="A57" i="7"/>
  <c r="Z56" i="7"/>
  <c r="W56" i="7"/>
  <c r="V56" i="7"/>
  <c r="U56" i="7"/>
  <c r="T56" i="7"/>
  <c r="S56" i="7"/>
  <c r="R56" i="7"/>
  <c r="Q56" i="7"/>
  <c r="P56" i="7"/>
  <c r="O56" i="7"/>
  <c r="N56" i="7"/>
  <c r="M56" i="7"/>
  <c r="L56" i="7"/>
  <c r="K56" i="7"/>
  <c r="J56" i="7"/>
  <c r="I56" i="7"/>
  <c r="H56" i="7"/>
  <c r="G56" i="7"/>
  <c r="F56" i="7"/>
  <c r="E56" i="7"/>
  <c r="D56" i="7"/>
  <c r="C56" i="7"/>
  <c r="B56" i="7"/>
  <c r="A56" i="7"/>
  <c r="W55" i="7"/>
  <c r="V55" i="7"/>
  <c r="U55" i="7"/>
  <c r="T55" i="7"/>
  <c r="S55" i="7"/>
  <c r="R55" i="7"/>
  <c r="Q55" i="7"/>
  <c r="P55" i="7"/>
  <c r="O55" i="7"/>
  <c r="N55" i="7"/>
  <c r="M55" i="7"/>
  <c r="L55" i="7"/>
  <c r="K55" i="7"/>
  <c r="J55" i="7"/>
  <c r="I55" i="7"/>
  <c r="H55" i="7"/>
  <c r="G55" i="7"/>
  <c r="F55" i="7"/>
  <c r="E55" i="7"/>
  <c r="D55" i="7"/>
  <c r="C55" i="7"/>
  <c r="B55" i="7"/>
  <c r="A55" i="7"/>
  <c r="Z54" i="7"/>
  <c r="W54" i="7"/>
  <c r="V54" i="7"/>
  <c r="U54" i="7"/>
  <c r="T54" i="7"/>
  <c r="S54" i="7"/>
  <c r="R54" i="7"/>
  <c r="Q54" i="7"/>
  <c r="P54" i="7"/>
  <c r="O54" i="7"/>
  <c r="N54" i="7"/>
  <c r="M54" i="7"/>
  <c r="L54" i="7"/>
  <c r="K54" i="7"/>
  <c r="J54" i="7"/>
  <c r="I54" i="7"/>
  <c r="H54" i="7"/>
  <c r="G54" i="7"/>
  <c r="F54" i="7"/>
  <c r="E54" i="7"/>
  <c r="D54" i="7"/>
  <c r="C54" i="7"/>
  <c r="B54" i="7"/>
  <c r="A54" i="7"/>
  <c r="Z53" i="7"/>
  <c r="W53" i="7"/>
  <c r="V53" i="7"/>
  <c r="U53" i="7"/>
  <c r="T53" i="7"/>
  <c r="S53" i="7"/>
  <c r="R53" i="7"/>
  <c r="Q53" i="7"/>
  <c r="P53" i="7"/>
  <c r="O53" i="7"/>
  <c r="N53" i="7"/>
  <c r="M53" i="7"/>
  <c r="L53" i="7"/>
  <c r="K53" i="7"/>
  <c r="J53" i="7"/>
  <c r="I53" i="7"/>
  <c r="H53" i="7"/>
  <c r="G53" i="7"/>
  <c r="F53" i="7"/>
  <c r="E53" i="7"/>
  <c r="D53" i="7"/>
  <c r="C53" i="7"/>
  <c r="B53" i="7"/>
  <c r="A53" i="7"/>
  <c r="Z52" i="7"/>
  <c r="Y52" i="7"/>
  <c r="W52" i="7"/>
  <c r="V52" i="7"/>
  <c r="U52" i="7"/>
  <c r="T52" i="7"/>
  <c r="S52" i="7"/>
  <c r="R52" i="7"/>
  <c r="Q52" i="7"/>
  <c r="P52" i="7"/>
  <c r="O52" i="7"/>
  <c r="N52" i="7"/>
  <c r="M52" i="7"/>
  <c r="L52" i="7"/>
  <c r="K52" i="7"/>
  <c r="J52" i="7"/>
  <c r="I52" i="7"/>
  <c r="H52" i="7"/>
  <c r="G52" i="7"/>
  <c r="F52" i="7"/>
  <c r="E52" i="7"/>
  <c r="D52" i="7"/>
  <c r="C52" i="7"/>
  <c r="B52" i="7"/>
  <c r="A52" i="7"/>
  <c r="Z51" i="7"/>
  <c r="W51" i="7"/>
  <c r="V51" i="7"/>
  <c r="U51" i="7"/>
  <c r="T51" i="7"/>
  <c r="S51" i="7"/>
  <c r="R51" i="7"/>
  <c r="Q51" i="7"/>
  <c r="P51" i="7"/>
  <c r="O51" i="7"/>
  <c r="N51" i="7"/>
  <c r="M51" i="7"/>
  <c r="L51" i="7"/>
  <c r="K51" i="7"/>
  <c r="J51" i="7"/>
  <c r="I51" i="7"/>
  <c r="H51" i="7"/>
  <c r="G51" i="7"/>
  <c r="F51" i="7"/>
  <c r="E51" i="7"/>
  <c r="D51" i="7"/>
  <c r="C51" i="7"/>
  <c r="B51" i="7"/>
  <c r="A51" i="7"/>
  <c r="Z50" i="7"/>
  <c r="Y50" i="7"/>
  <c r="X50" i="7"/>
  <c r="W50" i="7"/>
  <c r="V50" i="7"/>
  <c r="U50" i="7"/>
  <c r="T50" i="7"/>
  <c r="S50" i="7"/>
  <c r="R50" i="7"/>
  <c r="Q50" i="7"/>
  <c r="P50" i="7"/>
  <c r="O50" i="7"/>
  <c r="N50" i="7"/>
  <c r="M50" i="7"/>
  <c r="L50" i="7"/>
  <c r="K50" i="7"/>
  <c r="J50" i="7"/>
  <c r="I50" i="7"/>
  <c r="H50" i="7"/>
  <c r="G50" i="7"/>
  <c r="F50" i="7"/>
  <c r="E50" i="7"/>
  <c r="D50" i="7"/>
  <c r="C50" i="7"/>
  <c r="B50" i="7"/>
  <c r="A50" i="7"/>
  <c r="Z49" i="7"/>
  <c r="Y49" i="7"/>
  <c r="X49" i="7"/>
  <c r="W49" i="7"/>
  <c r="V49" i="7"/>
  <c r="U49" i="7"/>
  <c r="T49" i="7"/>
  <c r="S49" i="7"/>
  <c r="R49" i="7"/>
  <c r="Q49" i="7"/>
  <c r="P49" i="7"/>
  <c r="O49" i="7"/>
  <c r="N49" i="7"/>
  <c r="M49" i="7"/>
  <c r="L49" i="7"/>
  <c r="K49" i="7"/>
  <c r="J49" i="7"/>
  <c r="I49" i="7"/>
  <c r="H49" i="7"/>
  <c r="G49" i="7"/>
  <c r="F49" i="7"/>
  <c r="E49" i="7"/>
  <c r="D49" i="7"/>
  <c r="C49" i="7"/>
  <c r="B49" i="7"/>
  <c r="A49" i="7"/>
  <c r="Z48" i="7"/>
  <c r="Y48" i="7"/>
  <c r="X48" i="7"/>
  <c r="W48" i="7"/>
  <c r="V48" i="7"/>
  <c r="U48" i="7"/>
  <c r="T48" i="7"/>
  <c r="S48" i="7"/>
  <c r="R48" i="7"/>
  <c r="Q48" i="7"/>
  <c r="P48" i="7"/>
  <c r="O48" i="7"/>
  <c r="N48" i="7"/>
  <c r="M48" i="7"/>
  <c r="L48" i="7"/>
  <c r="K48" i="7"/>
  <c r="J48" i="7"/>
  <c r="I48" i="7"/>
  <c r="H48" i="7"/>
  <c r="G48" i="7"/>
  <c r="F48" i="7"/>
  <c r="E48" i="7"/>
  <c r="D48" i="7"/>
  <c r="C48" i="7"/>
  <c r="B48" i="7"/>
  <c r="A48" i="7"/>
  <c r="Z47" i="7"/>
  <c r="Y47" i="7"/>
  <c r="X47" i="7"/>
  <c r="W47" i="7"/>
  <c r="V47" i="7"/>
  <c r="U47" i="7"/>
  <c r="T47" i="7"/>
  <c r="S47" i="7"/>
  <c r="R47" i="7"/>
  <c r="Q47" i="7"/>
  <c r="P47" i="7"/>
  <c r="O47" i="7"/>
  <c r="N47" i="7"/>
  <c r="M47" i="7"/>
  <c r="L47" i="7"/>
  <c r="K47" i="7"/>
  <c r="J47" i="7"/>
  <c r="I47" i="7"/>
  <c r="H47" i="7"/>
  <c r="G47" i="7"/>
  <c r="F47" i="7"/>
  <c r="E47" i="7"/>
  <c r="D47" i="7"/>
  <c r="C47" i="7"/>
  <c r="B47" i="7"/>
  <c r="A47" i="7"/>
  <c r="Z46" i="7"/>
  <c r="W46" i="7"/>
  <c r="V46" i="7"/>
  <c r="U46" i="7"/>
  <c r="T46" i="7"/>
  <c r="S46" i="7"/>
  <c r="R46" i="7"/>
  <c r="Q46" i="7"/>
  <c r="P46" i="7"/>
  <c r="O46" i="7"/>
  <c r="N46" i="7"/>
  <c r="M46" i="7"/>
  <c r="L46" i="7"/>
  <c r="K46" i="7"/>
  <c r="J46" i="7"/>
  <c r="I46" i="7"/>
  <c r="H46" i="7"/>
  <c r="G46" i="7"/>
  <c r="F46" i="7"/>
  <c r="E46" i="7"/>
  <c r="D46" i="7"/>
  <c r="C46" i="7"/>
  <c r="B46" i="7"/>
  <c r="A46" i="7"/>
  <c r="Z45" i="7"/>
  <c r="Y45" i="7"/>
  <c r="X45" i="7"/>
  <c r="W45" i="7"/>
  <c r="V45" i="7"/>
  <c r="U45" i="7"/>
  <c r="T45" i="7"/>
  <c r="S45" i="7"/>
  <c r="R45" i="7"/>
  <c r="Q45" i="7"/>
  <c r="P45" i="7"/>
  <c r="O45" i="7"/>
  <c r="N45" i="7"/>
  <c r="M45" i="7"/>
  <c r="L45" i="7"/>
  <c r="K45" i="7"/>
  <c r="J45" i="7"/>
  <c r="I45" i="7"/>
  <c r="H45" i="7"/>
  <c r="G45" i="7"/>
  <c r="F45" i="7"/>
  <c r="E45" i="7"/>
  <c r="D45" i="7"/>
  <c r="C45" i="7"/>
  <c r="B45" i="7"/>
  <c r="A45" i="7"/>
  <c r="W44" i="7"/>
  <c r="V44" i="7"/>
  <c r="U44" i="7"/>
  <c r="T44" i="7"/>
  <c r="S44" i="7"/>
  <c r="R44" i="7"/>
  <c r="Q44" i="7"/>
  <c r="P44" i="7"/>
  <c r="O44" i="7"/>
  <c r="N44" i="7"/>
  <c r="M44" i="7"/>
  <c r="L44" i="7"/>
  <c r="K44" i="7"/>
  <c r="J44" i="7"/>
  <c r="I44" i="7"/>
  <c r="H44" i="7"/>
  <c r="G44" i="7"/>
  <c r="F44" i="7"/>
  <c r="E44" i="7"/>
  <c r="D44" i="7"/>
  <c r="C44" i="7"/>
  <c r="B44" i="7"/>
  <c r="A44" i="7"/>
  <c r="W43" i="7"/>
  <c r="V43" i="7"/>
  <c r="U43" i="7"/>
  <c r="T43" i="7"/>
  <c r="S43" i="7"/>
  <c r="R43" i="7"/>
  <c r="Q43" i="7"/>
  <c r="P43" i="7"/>
  <c r="O43" i="7"/>
  <c r="N43" i="7"/>
  <c r="M43" i="7"/>
  <c r="L43" i="7"/>
  <c r="K43" i="7"/>
  <c r="J43" i="7"/>
  <c r="I43" i="7"/>
  <c r="H43" i="7"/>
  <c r="G43" i="7"/>
  <c r="F43" i="7"/>
  <c r="E43" i="7"/>
  <c r="D43" i="7"/>
  <c r="C43" i="7"/>
  <c r="B43" i="7"/>
  <c r="A43" i="7"/>
  <c r="Y42" i="7"/>
  <c r="X42" i="7"/>
  <c r="W42" i="7"/>
  <c r="V42" i="7"/>
  <c r="U42" i="7"/>
  <c r="T42" i="7"/>
  <c r="S42" i="7"/>
  <c r="R42" i="7"/>
  <c r="Q42" i="7"/>
  <c r="P42" i="7"/>
  <c r="O42" i="7"/>
  <c r="N42" i="7"/>
  <c r="M42" i="7"/>
  <c r="L42" i="7"/>
  <c r="K42" i="7"/>
  <c r="J42" i="7"/>
  <c r="I42" i="7"/>
  <c r="H42" i="7"/>
  <c r="G42" i="7"/>
  <c r="F42" i="7"/>
  <c r="E42" i="7"/>
  <c r="D42" i="7"/>
  <c r="C42" i="7"/>
  <c r="B42" i="7"/>
  <c r="A42" i="7"/>
  <c r="Z41" i="7"/>
  <c r="Y41" i="7"/>
  <c r="X41" i="7"/>
  <c r="W41" i="7"/>
  <c r="V41" i="7"/>
  <c r="U41" i="7"/>
  <c r="T41" i="7"/>
  <c r="S41" i="7"/>
  <c r="R41" i="7"/>
  <c r="Q41" i="7"/>
  <c r="P41" i="7"/>
  <c r="O41" i="7"/>
  <c r="N41" i="7"/>
  <c r="M41" i="7"/>
  <c r="L41" i="7"/>
  <c r="K41" i="7"/>
  <c r="J41" i="7"/>
  <c r="I41" i="7"/>
  <c r="H41" i="7"/>
  <c r="G41" i="7"/>
  <c r="F41" i="7"/>
  <c r="E41" i="7"/>
  <c r="D41" i="7"/>
  <c r="C41" i="7"/>
  <c r="B41" i="7"/>
  <c r="A41" i="7"/>
  <c r="Z40" i="7"/>
  <c r="Y40" i="7"/>
  <c r="X40" i="7"/>
  <c r="W40" i="7"/>
  <c r="V40" i="7"/>
  <c r="U40" i="7"/>
  <c r="T40" i="7"/>
  <c r="S40" i="7"/>
  <c r="R40" i="7"/>
  <c r="Q40" i="7"/>
  <c r="P40" i="7"/>
  <c r="O40" i="7"/>
  <c r="N40" i="7"/>
  <c r="M40" i="7"/>
  <c r="L40" i="7"/>
  <c r="K40" i="7"/>
  <c r="J40" i="7"/>
  <c r="I40" i="7"/>
  <c r="H40" i="7"/>
  <c r="G40" i="7"/>
  <c r="F40" i="7"/>
  <c r="E40" i="7"/>
  <c r="D40" i="7"/>
  <c r="C40" i="7"/>
  <c r="B40" i="7"/>
  <c r="A40" i="7"/>
  <c r="Z39" i="7"/>
  <c r="Y39" i="7"/>
  <c r="X39" i="7"/>
  <c r="W39" i="7"/>
  <c r="V39" i="7"/>
  <c r="U39" i="7"/>
  <c r="T39" i="7"/>
  <c r="S39" i="7"/>
  <c r="R39" i="7"/>
  <c r="Q39" i="7"/>
  <c r="P39" i="7"/>
  <c r="O39" i="7"/>
  <c r="N39" i="7"/>
  <c r="M39" i="7"/>
  <c r="L39" i="7"/>
  <c r="K39" i="7"/>
  <c r="J39" i="7"/>
  <c r="I39" i="7"/>
  <c r="H39" i="7"/>
  <c r="G39" i="7"/>
  <c r="F39" i="7"/>
  <c r="E39" i="7"/>
  <c r="D39" i="7"/>
  <c r="C39" i="7"/>
  <c r="B39" i="7"/>
  <c r="A39" i="7"/>
  <c r="Z38" i="7"/>
  <c r="W38" i="7"/>
  <c r="V38" i="7"/>
  <c r="U38" i="7"/>
  <c r="T38" i="7"/>
  <c r="S38" i="7"/>
  <c r="R38" i="7"/>
  <c r="Q38" i="7"/>
  <c r="P38" i="7"/>
  <c r="O38" i="7"/>
  <c r="N38" i="7"/>
  <c r="M38" i="7"/>
  <c r="L38" i="7"/>
  <c r="K38" i="7"/>
  <c r="J38" i="7"/>
  <c r="I38" i="7"/>
  <c r="H38" i="7"/>
  <c r="G38" i="7"/>
  <c r="F38" i="7"/>
  <c r="E38" i="7"/>
  <c r="D38" i="7"/>
  <c r="C38" i="7"/>
  <c r="B38" i="7"/>
  <c r="A38" i="7"/>
  <c r="W37" i="7"/>
  <c r="V37" i="7"/>
  <c r="U37" i="7"/>
  <c r="T37" i="7"/>
  <c r="S37" i="7"/>
  <c r="R37" i="7"/>
  <c r="Q37" i="7"/>
  <c r="P37" i="7"/>
  <c r="O37" i="7"/>
  <c r="N37" i="7"/>
  <c r="M37" i="7"/>
  <c r="L37" i="7"/>
  <c r="K37" i="7"/>
  <c r="J37" i="7"/>
  <c r="I37" i="7"/>
  <c r="H37" i="7"/>
  <c r="G37" i="7"/>
  <c r="F37" i="7"/>
  <c r="E37" i="7"/>
  <c r="D37" i="7"/>
  <c r="C37" i="7"/>
  <c r="B37" i="7"/>
  <c r="A37" i="7"/>
  <c r="Z36" i="7"/>
  <c r="Y36" i="7"/>
  <c r="X36" i="7"/>
  <c r="W36" i="7"/>
  <c r="V36" i="7"/>
  <c r="U36" i="7"/>
  <c r="T36" i="7"/>
  <c r="S36" i="7"/>
  <c r="R36" i="7"/>
  <c r="Q36" i="7"/>
  <c r="P36" i="7"/>
  <c r="O36" i="7"/>
  <c r="N36" i="7"/>
  <c r="M36" i="7"/>
  <c r="L36" i="7"/>
  <c r="K36" i="7"/>
  <c r="J36" i="7"/>
  <c r="I36" i="7"/>
  <c r="H36" i="7"/>
  <c r="G36" i="7"/>
  <c r="F36" i="7"/>
  <c r="E36" i="7"/>
  <c r="D36" i="7"/>
  <c r="C36" i="7"/>
  <c r="B36" i="7"/>
  <c r="A36" i="7"/>
  <c r="Y35" i="7"/>
  <c r="X35" i="7"/>
  <c r="W35" i="7"/>
  <c r="V35" i="7"/>
  <c r="U35" i="7"/>
  <c r="T35" i="7"/>
  <c r="S35" i="7"/>
  <c r="R35" i="7"/>
  <c r="Q35" i="7"/>
  <c r="P35" i="7"/>
  <c r="O35" i="7"/>
  <c r="N35" i="7"/>
  <c r="M35" i="7"/>
  <c r="L35" i="7"/>
  <c r="K35" i="7"/>
  <c r="J35" i="7"/>
  <c r="I35" i="7"/>
  <c r="H35" i="7"/>
  <c r="G35" i="7"/>
  <c r="F35" i="7"/>
  <c r="E35" i="7"/>
  <c r="D35" i="7"/>
  <c r="C35" i="7"/>
  <c r="B35" i="7"/>
  <c r="A35" i="7"/>
  <c r="Y34" i="7"/>
  <c r="X34" i="7"/>
  <c r="W34" i="7"/>
  <c r="V34" i="7"/>
  <c r="U34" i="7"/>
  <c r="T34" i="7"/>
  <c r="S34" i="7"/>
  <c r="R34" i="7"/>
  <c r="Q34" i="7"/>
  <c r="P34" i="7"/>
  <c r="O34" i="7"/>
  <c r="N34" i="7"/>
  <c r="M34" i="7"/>
  <c r="L34" i="7"/>
  <c r="K34" i="7"/>
  <c r="J34" i="7"/>
  <c r="I34" i="7"/>
  <c r="H34" i="7"/>
  <c r="G34" i="7"/>
  <c r="F34" i="7"/>
  <c r="E34" i="7"/>
  <c r="D34" i="7"/>
  <c r="C34" i="7"/>
  <c r="B34" i="7"/>
  <c r="A34" i="7"/>
  <c r="Y33" i="7"/>
  <c r="X33" i="7"/>
  <c r="W33" i="7"/>
  <c r="V33" i="7"/>
  <c r="U33" i="7"/>
  <c r="T33" i="7"/>
  <c r="S33" i="7"/>
  <c r="R33" i="7"/>
  <c r="Q33" i="7"/>
  <c r="P33" i="7"/>
  <c r="O33" i="7"/>
  <c r="N33" i="7"/>
  <c r="M33" i="7"/>
  <c r="L33" i="7"/>
  <c r="K33" i="7"/>
  <c r="J33" i="7"/>
  <c r="I33" i="7"/>
  <c r="H33" i="7"/>
  <c r="G33" i="7"/>
  <c r="F33" i="7"/>
  <c r="E33" i="7"/>
  <c r="D33" i="7"/>
  <c r="C33" i="7"/>
  <c r="B33" i="7"/>
  <c r="A33" i="7"/>
  <c r="Y32" i="7"/>
  <c r="X32" i="7"/>
  <c r="W32" i="7"/>
  <c r="V32" i="7"/>
  <c r="U32" i="7"/>
  <c r="T32" i="7"/>
  <c r="S32" i="7"/>
  <c r="R32" i="7"/>
  <c r="Q32" i="7"/>
  <c r="P32" i="7"/>
  <c r="O32" i="7"/>
  <c r="N32" i="7"/>
  <c r="M32" i="7"/>
  <c r="L32" i="7"/>
  <c r="K32" i="7"/>
  <c r="J32" i="7"/>
  <c r="I32" i="7"/>
  <c r="H32" i="7"/>
  <c r="G32" i="7"/>
  <c r="F32" i="7"/>
  <c r="E32" i="7"/>
  <c r="D32" i="7"/>
  <c r="C32" i="7"/>
  <c r="B32" i="7"/>
  <c r="A32" i="7"/>
  <c r="Z31" i="7"/>
  <c r="Y31" i="7"/>
  <c r="X31" i="7"/>
  <c r="W31" i="7"/>
  <c r="V31" i="7"/>
  <c r="U31" i="7"/>
  <c r="T31" i="7"/>
  <c r="S31" i="7"/>
  <c r="R31" i="7"/>
  <c r="Q31" i="7"/>
  <c r="P31" i="7"/>
  <c r="O31" i="7"/>
  <c r="N31" i="7"/>
  <c r="M31" i="7"/>
  <c r="L31" i="7"/>
  <c r="K31" i="7"/>
  <c r="J31" i="7"/>
  <c r="I31" i="7"/>
  <c r="H31" i="7"/>
  <c r="G31" i="7"/>
  <c r="F31" i="7"/>
  <c r="E31" i="7"/>
  <c r="D31" i="7"/>
  <c r="C31" i="7"/>
  <c r="B31" i="7"/>
  <c r="A31" i="7"/>
  <c r="Z30" i="7"/>
  <c r="Y30" i="7"/>
  <c r="X30" i="7"/>
  <c r="W30" i="7"/>
  <c r="V30" i="7"/>
  <c r="U30" i="7"/>
  <c r="T30" i="7"/>
  <c r="S30" i="7"/>
  <c r="R30" i="7"/>
  <c r="Q30" i="7"/>
  <c r="P30" i="7"/>
  <c r="O30" i="7"/>
  <c r="N30" i="7"/>
  <c r="M30" i="7"/>
  <c r="L30" i="7"/>
  <c r="K30" i="7"/>
  <c r="J30" i="7"/>
  <c r="I30" i="7"/>
  <c r="H30" i="7"/>
  <c r="G30" i="7"/>
  <c r="F30" i="7"/>
  <c r="E30" i="7"/>
  <c r="D30" i="7"/>
  <c r="C30" i="7"/>
  <c r="B30" i="7"/>
  <c r="A30" i="7"/>
  <c r="Z29" i="7"/>
  <c r="Y29" i="7"/>
  <c r="X29" i="7"/>
  <c r="W29" i="7"/>
  <c r="V29" i="7"/>
  <c r="U29" i="7"/>
  <c r="T29" i="7"/>
  <c r="S29" i="7"/>
  <c r="R29" i="7"/>
  <c r="Q29" i="7"/>
  <c r="P29" i="7"/>
  <c r="O29" i="7"/>
  <c r="N29" i="7"/>
  <c r="M29" i="7"/>
  <c r="L29" i="7"/>
  <c r="K29" i="7"/>
  <c r="J29" i="7"/>
  <c r="I29" i="7"/>
  <c r="H29" i="7"/>
  <c r="G29" i="7"/>
  <c r="F29" i="7"/>
  <c r="E29" i="7"/>
  <c r="D29" i="7"/>
  <c r="C29" i="7"/>
  <c r="B29" i="7"/>
  <c r="A29" i="7"/>
  <c r="Z28" i="7"/>
  <c r="Y28" i="7"/>
  <c r="X28" i="7"/>
  <c r="W28" i="7"/>
  <c r="V28" i="7"/>
  <c r="U28" i="7"/>
  <c r="T28" i="7"/>
  <c r="S28" i="7"/>
  <c r="R28" i="7"/>
  <c r="Q28" i="7"/>
  <c r="P28" i="7"/>
  <c r="O28" i="7"/>
  <c r="N28" i="7"/>
  <c r="M28" i="7"/>
  <c r="L28" i="7"/>
  <c r="K28" i="7"/>
  <c r="J28" i="7"/>
  <c r="I28" i="7"/>
  <c r="H28" i="7"/>
  <c r="G28" i="7"/>
  <c r="F28" i="7"/>
  <c r="E28" i="7"/>
  <c r="D28" i="7"/>
  <c r="C28" i="7"/>
  <c r="B28" i="7"/>
  <c r="A28" i="7"/>
  <c r="Z27" i="7"/>
  <c r="Y27" i="7"/>
  <c r="X27" i="7"/>
  <c r="W27" i="7"/>
  <c r="V27" i="7"/>
  <c r="U27" i="7"/>
  <c r="T27" i="7"/>
  <c r="S27" i="7"/>
  <c r="R27" i="7"/>
  <c r="Q27" i="7"/>
  <c r="P27" i="7"/>
  <c r="O27" i="7"/>
  <c r="N27" i="7"/>
  <c r="M27" i="7"/>
  <c r="L27" i="7"/>
  <c r="K27" i="7"/>
  <c r="J27" i="7"/>
  <c r="I27" i="7"/>
  <c r="H27" i="7"/>
  <c r="G27" i="7"/>
  <c r="F27" i="7"/>
  <c r="E27" i="7"/>
  <c r="D27" i="7"/>
  <c r="C27" i="7"/>
  <c r="B27" i="7"/>
  <c r="A27" i="7"/>
  <c r="Z26" i="7"/>
  <c r="Y26" i="7"/>
  <c r="X26" i="7"/>
  <c r="W26" i="7"/>
  <c r="V26" i="7"/>
  <c r="U26" i="7"/>
  <c r="T26" i="7"/>
  <c r="S26" i="7"/>
  <c r="R26" i="7"/>
  <c r="Q26" i="7"/>
  <c r="P26" i="7"/>
  <c r="O26" i="7"/>
  <c r="N26" i="7"/>
  <c r="M26" i="7"/>
  <c r="L26" i="7"/>
  <c r="K26" i="7"/>
  <c r="J26" i="7"/>
  <c r="I26" i="7"/>
  <c r="H26" i="7"/>
  <c r="G26" i="7"/>
  <c r="F26" i="7"/>
  <c r="E26" i="7"/>
  <c r="D26" i="7"/>
  <c r="C26" i="7"/>
  <c r="B26" i="7"/>
  <c r="A26" i="7"/>
  <c r="Z25" i="7"/>
  <c r="Y25" i="7"/>
  <c r="X25" i="7"/>
  <c r="W25" i="7"/>
  <c r="V25" i="7"/>
  <c r="U25" i="7"/>
  <c r="T25" i="7"/>
  <c r="S25" i="7"/>
  <c r="R25" i="7"/>
  <c r="Q25" i="7"/>
  <c r="P25" i="7"/>
  <c r="O25" i="7"/>
  <c r="N25" i="7"/>
  <c r="M25" i="7"/>
  <c r="L25" i="7"/>
  <c r="K25" i="7"/>
  <c r="J25" i="7"/>
  <c r="I25" i="7"/>
  <c r="H25" i="7"/>
  <c r="G25" i="7"/>
  <c r="F25" i="7"/>
  <c r="E25" i="7"/>
  <c r="D25" i="7"/>
  <c r="C25" i="7"/>
  <c r="B25" i="7"/>
  <c r="A25" i="7"/>
  <c r="Z24" i="7"/>
  <c r="Y24" i="7"/>
  <c r="X24" i="7"/>
  <c r="W24" i="7"/>
  <c r="V24" i="7"/>
  <c r="U24" i="7"/>
  <c r="T24" i="7"/>
  <c r="S24" i="7"/>
  <c r="R24" i="7"/>
  <c r="Q24" i="7"/>
  <c r="P24" i="7"/>
  <c r="O24" i="7"/>
  <c r="N24" i="7"/>
  <c r="M24" i="7"/>
  <c r="L24" i="7"/>
  <c r="K24" i="7"/>
  <c r="J24" i="7"/>
  <c r="I24" i="7"/>
  <c r="H24" i="7"/>
  <c r="G24" i="7"/>
  <c r="F24" i="7"/>
  <c r="E24" i="7"/>
  <c r="D24" i="7"/>
  <c r="C24" i="7"/>
  <c r="B24" i="7"/>
  <c r="A24" i="7"/>
  <c r="Z23" i="7"/>
  <c r="Y23" i="7"/>
  <c r="X23" i="7"/>
  <c r="W23" i="7"/>
  <c r="V23" i="7"/>
  <c r="U23" i="7"/>
  <c r="T23" i="7"/>
  <c r="S23" i="7"/>
  <c r="R23" i="7"/>
  <c r="Q23" i="7"/>
  <c r="P23" i="7"/>
  <c r="O23" i="7"/>
  <c r="N23" i="7"/>
  <c r="M23" i="7"/>
  <c r="L23" i="7"/>
  <c r="K23" i="7"/>
  <c r="J23" i="7"/>
  <c r="I23" i="7"/>
  <c r="H23" i="7"/>
  <c r="G23" i="7"/>
  <c r="F23" i="7"/>
  <c r="E23" i="7"/>
  <c r="D23" i="7"/>
  <c r="C23" i="7"/>
  <c r="B23" i="7"/>
  <c r="A23" i="7"/>
  <c r="W22" i="7"/>
  <c r="V22" i="7"/>
  <c r="U22" i="7"/>
  <c r="T22" i="7"/>
  <c r="S22" i="7"/>
  <c r="R22" i="7"/>
  <c r="Q22" i="7"/>
  <c r="P22" i="7"/>
  <c r="O22" i="7"/>
  <c r="N22" i="7"/>
  <c r="M22" i="7"/>
  <c r="L22" i="7"/>
  <c r="K22" i="7"/>
  <c r="J22" i="7"/>
  <c r="I22" i="7"/>
  <c r="H22" i="7"/>
  <c r="G22" i="7"/>
  <c r="F22" i="7"/>
  <c r="E22" i="7"/>
  <c r="D22" i="7"/>
  <c r="C22" i="7"/>
  <c r="B22" i="7"/>
  <c r="A22" i="7"/>
  <c r="Z21" i="7"/>
  <c r="Y21" i="7"/>
  <c r="X21" i="7"/>
  <c r="W21" i="7"/>
  <c r="V21" i="7"/>
  <c r="U21" i="7"/>
  <c r="T21" i="7"/>
  <c r="S21" i="7"/>
  <c r="R21" i="7"/>
  <c r="Q21" i="7"/>
  <c r="P21" i="7"/>
  <c r="O21" i="7"/>
  <c r="N21" i="7"/>
  <c r="M21" i="7"/>
  <c r="L21" i="7"/>
  <c r="K21" i="7"/>
  <c r="J21" i="7"/>
  <c r="I21" i="7"/>
  <c r="H21" i="7"/>
  <c r="G21" i="7"/>
  <c r="F21" i="7"/>
  <c r="E21" i="7"/>
  <c r="D21" i="7"/>
  <c r="C21" i="7"/>
  <c r="B21" i="7"/>
  <c r="A21" i="7"/>
  <c r="W20" i="7"/>
  <c r="V20" i="7"/>
  <c r="U20" i="7"/>
  <c r="T20" i="7"/>
  <c r="S20" i="7"/>
  <c r="R20" i="7"/>
  <c r="Q20" i="7"/>
  <c r="P20" i="7"/>
  <c r="O20" i="7"/>
  <c r="N20" i="7"/>
  <c r="M20" i="7"/>
  <c r="L20" i="7"/>
  <c r="K20" i="7"/>
  <c r="J20" i="7"/>
  <c r="I20" i="7"/>
  <c r="H20" i="7"/>
  <c r="G20" i="7"/>
  <c r="F20" i="7"/>
  <c r="E20" i="7"/>
  <c r="D20" i="7"/>
  <c r="C20" i="7"/>
  <c r="B20" i="7"/>
  <c r="A20" i="7"/>
  <c r="W19" i="7"/>
  <c r="V19" i="7"/>
  <c r="U19" i="7"/>
  <c r="T19" i="7"/>
  <c r="S19" i="7"/>
  <c r="R19" i="7"/>
  <c r="Q19" i="7"/>
  <c r="P19" i="7"/>
  <c r="O19" i="7"/>
  <c r="N19" i="7"/>
  <c r="M19" i="7"/>
  <c r="L19" i="7"/>
  <c r="K19" i="7"/>
  <c r="J19" i="7"/>
  <c r="I19" i="7"/>
  <c r="H19" i="7"/>
  <c r="G19" i="7"/>
  <c r="F19" i="7"/>
  <c r="E19" i="7"/>
  <c r="D19" i="7"/>
  <c r="C19" i="7"/>
  <c r="B19" i="7"/>
  <c r="A19" i="7"/>
  <c r="W18" i="7"/>
  <c r="V18" i="7"/>
  <c r="U18" i="7"/>
  <c r="T18" i="7"/>
  <c r="S18" i="7"/>
  <c r="R18" i="7"/>
  <c r="Q18" i="7"/>
  <c r="P18" i="7"/>
  <c r="O18" i="7"/>
  <c r="N18" i="7"/>
  <c r="M18" i="7"/>
  <c r="L18" i="7"/>
  <c r="K18" i="7"/>
  <c r="J18" i="7"/>
  <c r="I18" i="7"/>
  <c r="H18" i="7"/>
  <c r="G18" i="7"/>
  <c r="F18" i="7"/>
  <c r="E18" i="7"/>
  <c r="D18" i="7"/>
  <c r="C18" i="7"/>
  <c r="B18" i="7"/>
  <c r="A18" i="7"/>
  <c r="W17" i="7"/>
  <c r="V17" i="7"/>
  <c r="U17" i="7"/>
  <c r="T17" i="7"/>
  <c r="S17" i="7"/>
  <c r="R17" i="7"/>
  <c r="Q17" i="7"/>
  <c r="P17" i="7"/>
  <c r="O17" i="7"/>
  <c r="N17" i="7"/>
  <c r="M17" i="7"/>
  <c r="L17" i="7"/>
  <c r="K17" i="7"/>
  <c r="J17" i="7"/>
  <c r="I17" i="7"/>
  <c r="H17" i="7"/>
  <c r="G17" i="7"/>
  <c r="F17" i="7"/>
  <c r="E17" i="7"/>
  <c r="D17" i="7"/>
  <c r="C17" i="7"/>
  <c r="B17" i="7"/>
  <c r="A17" i="7"/>
  <c r="W16" i="7"/>
  <c r="V16" i="7"/>
  <c r="U16" i="7"/>
  <c r="T16" i="7"/>
  <c r="S16" i="7"/>
  <c r="R16" i="7"/>
  <c r="Q16" i="7"/>
  <c r="P16" i="7"/>
  <c r="O16" i="7"/>
  <c r="N16" i="7"/>
  <c r="M16" i="7"/>
  <c r="L16" i="7"/>
  <c r="K16" i="7"/>
  <c r="J16" i="7"/>
  <c r="I16" i="7"/>
  <c r="H16" i="7"/>
  <c r="G16" i="7"/>
  <c r="F16" i="7"/>
  <c r="E16" i="7"/>
  <c r="D16" i="7"/>
  <c r="C16" i="7"/>
  <c r="B16" i="7"/>
  <c r="A16" i="7"/>
  <c r="Z15" i="7"/>
  <c r="Y15" i="7"/>
  <c r="X15" i="7"/>
  <c r="W15" i="7"/>
  <c r="V15" i="7"/>
  <c r="U15" i="7"/>
  <c r="T15" i="7"/>
  <c r="S15" i="7"/>
  <c r="R15" i="7"/>
  <c r="Q15" i="7"/>
  <c r="P15" i="7"/>
  <c r="O15" i="7"/>
  <c r="N15" i="7"/>
  <c r="M15" i="7"/>
  <c r="L15" i="7"/>
  <c r="K15" i="7"/>
  <c r="J15" i="7"/>
  <c r="I15" i="7"/>
  <c r="H15" i="7"/>
  <c r="G15" i="7"/>
  <c r="F15" i="7"/>
  <c r="E15" i="7"/>
  <c r="D15" i="7"/>
  <c r="C15" i="7"/>
  <c r="B15" i="7"/>
  <c r="A15" i="7"/>
  <c r="Y14" i="7"/>
  <c r="X14" i="7"/>
  <c r="W14" i="7"/>
  <c r="V14" i="7"/>
  <c r="U14" i="7"/>
  <c r="T14" i="7"/>
  <c r="S14" i="7"/>
  <c r="R14" i="7"/>
  <c r="Q14" i="7"/>
  <c r="P14" i="7"/>
  <c r="O14" i="7"/>
  <c r="N14" i="7"/>
  <c r="M14" i="7"/>
  <c r="L14" i="7"/>
  <c r="K14" i="7"/>
  <c r="J14" i="7"/>
  <c r="I14" i="7"/>
  <c r="H14" i="7"/>
  <c r="G14" i="7"/>
  <c r="F14" i="7"/>
  <c r="E14" i="7"/>
  <c r="D14" i="7"/>
  <c r="C14" i="7"/>
  <c r="B14" i="7"/>
  <c r="A14" i="7"/>
  <c r="Z13" i="7"/>
  <c r="Y13" i="7"/>
  <c r="X13" i="7"/>
  <c r="W13" i="7"/>
  <c r="V13" i="7"/>
  <c r="U13" i="7"/>
  <c r="T13" i="7"/>
  <c r="S13" i="7"/>
  <c r="R13" i="7"/>
  <c r="Q13" i="7"/>
  <c r="P13" i="7"/>
  <c r="O13" i="7"/>
  <c r="N13" i="7"/>
  <c r="M13" i="7"/>
  <c r="L13" i="7"/>
  <c r="K13" i="7"/>
  <c r="J13" i="7"/>
  <c r="I13" i="7"/>
  <c r="H13" i="7"/>
  <c r="G13" i="7"/>
  <c r="F13" i="7"/>
  <c r="E13" i="7"/>
  <c r="D13" i="7"/>
  <c r="C13" i="7"/>
  <c r="B13" i="7"/>
  <c r="A13" i="7"/>
  <c r="W12" i="7"/>
  <c r="V12" i="7"/>
  <c r="U12" i="7"/>
  <c r="T12" i="7"/>
  <c r="S12" i="7"/>
  <c r="R12" i="7"/>
  <c r="Q12" i="7"/>
  <c r="P12" i="7"/>
  <c r="O12" i="7"/>
  <c r="N12" i="7"/>
  <c r="M12" i="7"/>
  <c r="L12" i="7"/>
  <c r="K12" i="7"/>
  <c r="J12" i="7"/>
  <c r="I12" i="7"/>
  <c r="H12" i="7"/>
  <c r="G12" i="7"/>
  <c r="F12" i="7"/>
  <c r="E12" i="7"/>
  <c r="D12" i="7"/>
  <c r="C12" i="7"/>
  <c r="B12" i="7"/>
  <c r="A12" i="7"/>
  <c r="Z11" i="7"/>
  <c r="Y11" i="7"/>
  <c r="X11" i="7"/>
  <c r="W11" i="7"/>
  <c r="V11" i="7"/>
  <c r="U11" i="7"/>
  <c r="T11" i="7"/>
  <c r="S11" i="7"/>
  <c r="R11" i="7"/>
  <c r="Q11" i="7"/>
  <c r="P11" i="7"/>
  <c r="O11" i="7"/>
  <c r="N11" i="7"/>
  <c r="M11" i="7"/>
  <c r="L11" i="7"/>
  <c r="K11" i="7"/>
  <c r="J11" i="7"/>
  <c r="I11" i="7"/>
  <c r="H11" i="7"/>
  <c r="G11" i="7"/>
  <c r="F11" i="7"/>
  <c r="E11" i="7"/>
  <c r="D11" i="7"/>
  <c r="C11" i="7"/>
  <c r="B11" i="7"/>
  <c r="A11" i="7"/>
  <c r="Z10" i="7"/>
  <c r="Y10" i="7"/>
  <c r="X10" i="7"/>
  <c r="W10" i="7"/>
  <c r="V10" i="7"/>
  <c r="U10" i="7"/>
  <c r="T10" i="7"/>
  <c r="S10" i="7"/>
  <c r="R10" i="7"/>
  <c r="Q10" i="7"/>
  <c r="P10" i="7"/>
  <c r="O10" i="7"/>
  <c r="N10" i="7"/>
  <c r="M10" i="7"/>
  <c r="L10" i="7"/>
  <c r="K10" i="7"/>
  <c r="J10" i="7"/>
  <c r="I10" i="7"/>
  <c r="H10" i="7"/>
  <c r="G10" i="7"/>
  <c r="F10" i="7"/>
  <c r="E10" i="7"/>
  <c r="D10" i="7"/>
  <c r="C10" i="7"/>
  <c r="B10" i="7"/>
  <c r="A10" i="7"/>
  <c r="Z9" i="7"/>
  <c r="W9" i="7"/>
  <c r="V9" i="7"/>
  <c r="U9" i="7"/>
  <c r="T9" i="7"/>
  <c r="S9" i="7"/>
  <c r="R9" i="7"/>
  <c r="Q9" i="7"/>
  <c r="P9" i="7"/>
  <c r="O9" i="7"/>
  <c r="N9" i="7"/>
  <c r="M9" i="7"/>
  <c r="L9" i="7"/>
  <c r="K9" i="7"/>
  <c r="J9" i="7"/>
  <c r="I9" i="7"/>
  <c r="H9" i="7"/>
  <c r="G9" i="7"/>
  <c r="F9" i="7"/>
  <c r="E9" i="7"/>
  <c r="D9" i="7"/>
  <c r="C9" i="7"/>
  <c r="B9" i="7"/>
  <c r="A9" i="7"/>
  <c r="Z8" i="7"/>
  <c r="Y8" i="7"/>
  <c r="X8" i="7"/>
  <c r="W8" i="7"/>
  <c r="V8" i="7"/>
  <c r="U8" i="7"/>
  <c r="T8" i="7"/>
  <c r="S8" i="7"/>
  <c r="R8" i="7"/>
  <c r="Q8" i="7"/>
  <c r="P8" i="7"/>
  <c r="O8" i="7"/>
  <c r="N8" i="7"/>
  <c r="M8" i="7"/>
  <c r="L8" i="7"/>
  <c r="K8" i="7"/>
  <c r="J8" i="7"/>
  <c r="I8" i="7"/>
  <c r="H8" i="7"/>
  <c r="G8" i="7"/>
  <c r="F8" i="7"/>
  <c r="E8" i="7"/>
  <c r="D8" i="7"/>
  <c r="C8" i="7"/>
  <c r="B8" i="7"/>
  <c r="A8" i="7"/>
  <c r="Z7" i="7"/>
  <c r="Y7" i="7"/>
  <c r="X7" i="7"/>
  <c r="W7" i="7"/>
  <c r="V7" i="7"/>
  <c r="U7" i="7"/>
  <c r="T7" i="7"/>
  <c r="S7" i="7"/>
  <c r="R7" i="7"/>
  <c r="Q7" i="7"/>
  <c r="P7" i="7"/>
  <c r="O7" i="7"/>
  <c r="N7" i="7"/>
  <c r="M7" i="7"/>
  <c r="L7" i="7"/>
  <c r="K7" i="7"/>
  <c r="J7" i="7"/>
  <c r="I7" i="7"/>
  <c r="H7" i="7"/>
  <c r="G7" i="7"/>
  <c r="F7" i="7"/>
  <c r="E7" i="7"/>
  <c r="D7" i="7"/>
  <c r="C7" i="7"/>
  <c r="B7" i="7"/>
  <c r="A7" i="7"/>
  <c r="Y6" i="7"/>
  <c r="W6" i="7"/>
  <c r="V6" i="7"/>
  <c r="U6" i="7"/>
  <c r="T6" i="7"/>
  <c r="S6" i="7"/>
  <c r="R6" i="7"/>
  <c r="Q6" i="7"/>
  <c r="P6" i="7"/>
  <c r="O6" i="7"/>
  <c r="N6" i="7"/>
  <c r="M6" i="7"/>
  <c r="L6" i="7"/>
  <c r="K6" i="7"/>
  <c r="J6" i="7"/>
  <c r="I6" i="7"/>
  <c r="H6" i="7"/>
  <c r="G6" i="7"/>
  <c r="F6" i="7"/>
  <c r="E6" i="7"/>
  <c r="D6" i="7"/>
  <c r="C6" i="7"/>
  <c r="B6" i="7"/>
  <c r="A6" i="7"/>
  <c r="Y5" i="7"/>
  <c r="X5" i="7"/>
  <c r="W5" i="7"/>
  <c r="V5" i="7"/>
  <c r="U5" i="7"/>
  <c r="T5" i="7"/>
  <c r="S5" i="7"/>
  <c r="R5" i="7"/>
  <c r="Q5" i="7"/>
  <c r="P5" i="7"/>
  <c r="O5" i="7"/>
  <c r="N5" i="7"/>
  <c r="M5" i="7"/>
  <c r="L5" i="7"/>
  <c r="K5" i="7"/>
  <c r="J5" i="7"/>
  <c r="I5" i="7"/>
  <c r="H5" i="7"/>
  <c r="G5" i="7"/>
  <c r="F5" i="7"/>
  <c r="E5" i="7"/>
  <c r="D5" i="7"/>
  <c r="C5" i="7"/>
  <c r="B5" i="7"/>
  <c r="A5" i="7"/>
  <c r="Y4" i="7"/>
  <c r="W4" i="7"/>
  <c r="V4" i="7"/>
  <c r="U4" i="7"/>
  <c r="T4" i="7"/>
  <c r="S4" i="7"/>
  <c r="R4" i="7"/>
  <c r="Q4" i="7"/>
  <c r="P4" i="7"/>
  <c r="O4" i="7"/>
  <c r="N4" i="7"/>
  <c r="M4" i="7"/>
  <c r="L4" i="7"/>
  <c r="K4" i="7"/>
  <c r="J4" i="7"/>
  <c r="I4" i="7"/>
  <c r="H4" i="7"/>
  <c r="G4" i="7"/>
  <c r="F4" i="7"/>
  <c r="E4" i="7"/>
  <c r="D4" i="7"/>
  <c r="C4" i="7"/>
  <c r="B4" i="7"/>
  <c r="A4" i="7"/>
  <c r="Z3" i="7"/>
  <c r="Y3" i="7"/>
  <c r="W3" i="7"/>
  <c r="V3" i="7"/>
  <c r="U3" i="7"/>
  <c r="T3" i="7"/>
  <c r="S3" i="7"/>
  <c r="R3" i="7"/>
  <c r="Q3" i="7"/>
  <c r="P3" i="7"/>
  <c r="O3" i="7"/>
  <c r="N3" i="7"/>
  <c r="M3" i="7"/>
  <c r="L3" i="7"/>
  <c r="K3" i="7"/>
  <c r="J3" i="7"/>
  <c r="I3" i="7"/>
  <c r="H3" i="7"/>
  <c r="G3" i="7"/>
  <c r="F3" i="7"/>
  <c r="E3" i="7"/>
  <c r="D3" i="7"/>
  <c r="C3" i="7"/>
  <c r="B3" i="7"/>
  <c r="A3" i="7"/>
  <c r="Z2" i="7"/>
  <c r="Y2" i="7"/>
  <c r="X2" i="7"/>
  <c r="W2" i="7"/>
  <c r="V2" i="7"/>
  <c r="U2" i="7"/>
  <c r="T2" i="7"/>
  <c r="S2" i="7"/>
  <c r="R2" i="7"/>
  <c r="Q2" i="7"/>
  <c r="P2" i="7"/>
  <c r="O2" i="7"/>
  <c r="N2" i="7"/>
  <c r="M2" i="7"/>
  <c r="L2" i="7"/>
  <c r="K2" i="7"/>
  <c r="J2" i="7"/>
  <c r="I2" i="7"/>
  <c r="H2" i="7"/>
  <c r="G2" i="7"/>
  <c r="F2" i="7"/>
  <c r="E2" i="7"/>
  <c r="D2" i="7"/>
  <c r="C2" i="7"/>
  <c r="B2" i="7"/>
  <c r="A2" i="7"/>
</calcChain>
</file>

<file path=xl/sharedStrings.xml><?xml version="1.0" encoding="utf-8"?>
<sst xmlns="http://schemas.openxmlformats.org/spreadsheetml/2006/main" count="28" uniqueCount="28">
  <si>
    <t>Activity ID</t>
  </si>
  <si>
    <t>Number of Sources</t>
  </si>
  <si>
    <t>Activity Name</t>
  </si>
  <si>
    <t>Funder Type</t>
  </si>
  <si>
    <t>Funder(s)</t>
  </si>
  <si>
    <t>Implementer(s)</t>
  </si>
  <si>
    <t>BRI Status</t>
  </si>
  <si>
    <t>Activity Type</t>
  </si>
  <si>
    <t>Financial Type</t>
  </si>
  <si>
    <t>Dollar Amounts</t>
  </si>
  <si>
    <t>Country Code</t>
  </si>
  <si>
    <t>Country</t>
  </si>
  <si>
    <t>Specific Location</t>
  </si>
  <si>
    <t>Notes</t>
  </si>
  <si>
    <t>Activity Date 1</t>
  </si>
  <si>
    <t>Activity Date 2</t>
  </si>
  <si>
    <t>Activity Status</t>
  </si>
  <si>
    <t>Location Type</t>
  </si>
  <si>
    <t>Geocoded Location</t>
  </si>
  <si>
    <t>Geocoded Location Type</t>
  </si>
  <si>
    <t>Geocoder Notes</t>
  </si>
  <si>
    <t>Deliverable Mapping</t>
  </si>
  <si>
    <t>Imagery Date(s)</t>
  </si>
  <si>
    <t>Imagery Observations</t>
  </si>
  <si>
    <t>Coordinates</t>
  </si>
  <si>
    <t>The timeline of this collection process was: September 13, 2019 through present.</t>
  </si>
  <si>
    <t>Licensing Information: Open Source Data</t>
  </si>
  <si>
    <t>Admin Boundry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</si>
</sst>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
    <numFmt numFmtId="165" formatCode="mm/dd/yyyy"/>
    <numFmt numFmtId="166" formatCode="mm/dd/yy"/>
    <numFmt numFmtId="167" formatCode="mm/yyyy"/>
    <numFmt numFmtId="168" formatCode="m/yyyy"/>
    <numFmt numFmtId="169" formatCode="yyyy\-mm\-dd"/>
  </numFmts>
  <fonts count="7" x14ac:knownFonts="1">
    <font>
      <sz val="10"/>
      <color rgb="FF000000"/>
      <name val="Arial"/>
    </font>
    <font>
      <b/>
      <sz val="12"/>
      <name val="Arial"/>
    </font>
    <font>
      <sz val="10"/>
      <name val="Arial"/>
    </font>
    <font>
      <sz val="10"/>
      <name val="Arial"/>
    </font>
    <font>
      <sz val="10"/>
      <name val="Arial"/>
    </font>
    <font>
      <sz val="12"/>
      <name val="Arial"/>
    </font>
    <font>
      <u/>
      <sz val="10"/>
      <color rgb="FF0000FF"/>
      <name val="Arial"/>
    </font>
  </fonts>
  <fills count="4">
    <fill>
      <patternFill patternType="none"/>
    </fill>
    <fill>
      <patternFill patternType="gray125"/>
    </fill>
    <fill>
      <patternFill patternType="solid">
        <fgColor rgb="FFCFE2F3"/>
        <bgColor rgb="FFCFE2F3"/>
      </patternFill>
    </fill>
    <fill>
      <patternFill patternType="solid">
        <fgColor rgb="FFFFFFFF"/>
        <bgColor rgb="FFFFFFFF"/>
      </patternFill>
    </fill>
  </fills>
  <borders count="2">
    <border>
      <left/>
      <right/>
      <top/>
      <bottom/>
      <diagonal/>
    </border>
    <border>
      <left/>
      <right/>
      <top/>
      <bottom/>
      <diagonal/>
    </border>
  </borders>
  <cellStyleXfs count="1">
    <xf numFmtId="0" fontId="0" fillId="0" borderId="0"/>
  </cellStyleXfs>
  <cellXfs count="20">
    <xf numFmtId="0" fontId="0" fillId="0" borderId="0" xfId="0" applyFont="1" applyAlignment="1"/>
    <xf numFmtId="0" fontId="1" fillId="2" borderId="0" xfId="0" applyFont="1" applyFill="1" applyAlignment="1">
      <alignment horizontal="left" wrapText="1"/>
    </xf>
    <xf numFmtId="0" fontId="1" fillId="2" borderId="0" xfId="0" applyFont="1" applyFill="1" applyAlignment="1">
      <alignment wrapText="1"/>
    </xf>
    <xf numFmtId="0" fontId="1" fillId="2" borderId="0" xfId="0" applyFont="1" applyFill="1" applyAlignment="1">
      <alignment wrapText="1"/>
    </xf>
    <xf numFmtId="0" fontId="5" fillId="0" borderId="0" xfId="0" applyFont="1" applyAlignment="1">
      <alignment wrapText="1"/>
    </xf>
    <xf numFmtId="0" fontId="0" fillId="3" borderId="0" xfId="0" applyFont="1" applyFill="1" applyAlignment="1">
      <alignment wrapText="1"/>
    </xf>
    <xf numFmtId="0" fontId="3" fillId="0" borderId="0" xfId="0" applyFont="1" applyAlignment="1">
      <alignment wrapText="1"/>
    </xf>
    <xf numFmtId="164" fontId="3" fillId="0" borderId="0" xfId="0" applyNumberFormat="1" applyFont="1" applyAlignment="1">
      <alignment wrapText="1"/>
    </xf>
    <xf numFmtId="14" fontId="3" fillId="0" borderId="0" xfId="0" applyNumberFormat="1" applyFont="1" applyAlignment="1">
      <alignment wrapText="1"/>
    </xf>
    <xf numFmtId="0" fontId="6" fillId="0" borderId="0" xfId="0" applyFont="1" applyAlignment="1">
      <alignment wrapText="1"/>
    </xf>
    <xf numFmtId="1" fontId="3" fillId="0" borderId="0" xfId="0" applyNumberFormat="1" applyFont="1" applyAlignment="1">
      <alignment wrapText="1"/>
    </xf>
    <xf numFmtId="166" fontId="3" fillId="0" borderId="0" xfId="0" applyNumberFormat="1" applyFont="1" applyAlignment="1">
      <alignment wrapText="1"/>
    </xf>
    <xf numFmtId="165" fontId="3" fillId="0" borderId="0" xfId="0" applyNumberFormat="1" applyFont="1" applyAlignment="1">
      <alignment wrapText="1"/>
    </xf>
    <xf numFmtId="169" fontId="3" fillId="0" borderId="0" xfId="0" applyNumberFormat="1" applyFont="1" applyAlignment="1">
      <alignment wrapText="1"/>
    </xf>
    <xf numFmtId="167" fontId="3" fillId="0" borderId="0" xfId="0" applyNumberFormat="1" applyFont="1" applyAlignment="1">
      <alignment wrapText="1"/>
    </xf>
    <xf numFmtId="168" fontId="3" fillId="0" borderId="0" xfId="0" applyNumberFormat="1" applyFont="1" applyAlignment="1">
      <alignment wrapText="1"/>
    </xf>
    <xf numFmtId="14" fontId="3" fillId="0" borderId="0" xfId="0" applyNumberFormat="1" applyFont="1" applyAlignment="1">
      <alignment wrapText="1"/>
    </xf>
    <xf numFmtId="0" fontId="2" fillId="0" borderId="1" xfId="0" applyFont="1" applyBorder="1" applyAlignment="1"/>
    <xf numFmtId="0" fontId="2" fillId="0" borderId="1" xfId="0" applyFont="1" applyBorder="1" applyAlignment="1"/>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gist.github.com/mayadeutchman/a51d380afdd7615bd19502d294b7b4a5" TargetMode="External"/><Relationship Id="rId21" Type="http://schemas.openxmlformats.org/officeDocument/2006/relationships/hyperlink" Target="https://gist.github.com/Remy2020/2f6fe7eb9ff29cd4903be32416586c86" TargetMode="External"/><Relationship Id="rId42" Type="http://schemas.openxmlformats.org/officeDocument/2006/relationships/hyperlink" Target="https://gist.github.com/mayadeutchman/51a12a16e972158ed6a1c219696331b7" TargetMode="External"/><Relationship Id="rId47" Type="http://schemas.openxmlformats.org/officeDocument/2006/relationships/hyperlink" Target="https://gist.github.com/Remy2020/df0c42efc9620a4835aea96be2af3cf7" TargetMode="External"/><Relationship Id="rId63" Type="http://schemas.openxmlformats.org/officeDocument/2006/relationships/hyperlink" Target="https://gist.github.com/micrittenden/1d87371854fc3992b5d6403532a3faa4" TargetMode="External"/><Relationship Id="rId68" Type="http://schemas.openxmlformats.org/officeDocument/2006/relationships/hyperlink" Target="https://gist.github.com/mayadeutchman/33caa68c132e6adea23fb0b15bb73bf9" TargetMode="External"/><Relationship Id="rId84" Type="http://schemas.openxmlformats.org/officeDocument/2006/relationships/hyperlink" Target="https://cdm.unfccc.int/filestorage/z/1/BR4A5PUC8F3HK6Y0TMZIQWSXEJN2O7.pdf/PDD-CLEAN-QUIJOS-HYDRO-09-09.pdf?t=NGh8cWlxMHJlfDAAsn_Gew8M7ClxqY1DCgkX" TargetMode="External"/><Relationship Id="rId89" Type="http://schemas.openxmlformats.org/officeDocument/2006/relationships/hyperlink" Target="https://gist.github.com/Remy2020/51577f4edb99fbf44c0a3e38964d3ce3" TargetMode="External"/><Relationship Id="rId16" Type="http://schemas.openxmlformats.org/officeDocument/2006/relationships/hyperlink" Target="https://gist.github.com/Remy2020/fafed65a7089d925cc7d6c2bccc6af4c" TargetMode="External"/><Relationship Id="rId107" Type="http://schemas.openxmlformats.org/officeDocument/2006/relationships/hyperlink" Target="https://gist.github.com/Remy2020/5a947c5413d67812ec16ef6b547bd3ab" TargetMode="External"/><Relationship Id="rId11" Type="http://schemas.openxmlformats.org/officeDocument/2006/relationships/hyperlink" Target="https://gist.github.com/Remy2020/def6ab01de5e6fe994cf62a63c6afee9" TargetMode="External"/><Relationship Id="rId32" Type="http://schemas.openxmlformats.org/officeDocument/2006/relationships/hyperlink" Target="https://gist.github.com/Remy2020/b87eee1006c7661972e5a0efc9678e20" TargetMode="External"/><Relationship Id="rId37" Type="http://schemas.openxmlformats.org/officeDocument/2006/relationships/hyperlink" Target="https://gist.github.com/Remy2020/fc26b70cbea3f75a6f7aa6ea7b497af9" TargetMode="External"/><Relationship Id="rId53" Type="http://schemas.openxmlformats.org/officeDocument/2006/relationships/hyperlink" Target="https://gist.github.com/mayadeutchman/c481e06e5cd406c92a5bd704a433ca24" TargetMode="External"/><Relationship Id="rId58" Type="http://schemas.openxmlformats.org/officeDocument/2006/relationships/hyperlink" Target="https://gist.github.com/mayadeutchman/4b382a70a11dbfe6c52abb1f6befa4aa" TargetMode="External"/><Relationship Id="rId74" Type="http://schemas.openxmlformats.org/officeDocument/2006/relationships/hyperlink" Target="https://gist.github.com/Remy2020/4e146e8bada298e46ec6f18587b7ed15" TargetMode="External"/><Relationship Id="rId79" Type="http://schemas.openxmlformats.org/officeDocument/2006/relationships/hyperlink" Target="https://gist.github.com/Remy2020/5fa7bf456a21542feaaa341f959acb77" TargetMode="External"/><Relationship Id="rId102" Type="http://schemas.openxmlformats.org/officeDocument/2006/relationships/hyperlink" Target="https://gist.github.com/Remy2020/e502d7235104d3ef56c5b433e105e620" TargetMode="External"/><Relationship Id="rId5" Type="http://schemas.openxmlformats.org/officeDocument/2006/relationships/hyperlink" Target="https://gist.github.com/Remy2020/fd5df2d2b4625d65880475cea3470899" TargetMode="External"/><Relationship Id="rId90" Type="http://schemas.openxmlformats.org/officeDocument/2006/relationships/hyperlink" Target="https://gist.github.com/ysun15/592b23dfd2544fa4d0c4f0301daa72bb" TargetMode="External"/><Relationship Id="rId95" Type="http://schemas.openxmlformats.org/officeDocument/2006/relationships/hyperlink" Target="https://gist.github.com/ysun15/796df23d4721c647ad65ad74853aaaaf" TargetMode="External"/><Relationship Id="rId22" Type="http://schemas.openxmlformats.org/officeDocument/2006/relationships/hyperlink" Target="https://gist.github.com/Remy2020/49d8e00da7230acc53f827b4848304c2" TargetMode="External"/><Relationship Id="rId27" Type="http://schemas.openxmlformats.org/officeDocument/2006/relationships/hyperlink" Target="https://gist.github.com/micrittenden/d5766c17fdf16d2e21dc7d3f68f3008d" TargetMode="External"/><Relationship Id="rId43" Type="http://schemas.openxmlformats.org/officeDocument/2006/relationships/hyperlink" Target="https://gist.github.com/Remy2020/9ef99b9a5b614563cbc01c56ea5aa03e" TargetMode="External"/><Relationship Id="rId48" Type="http://schemas.openxmlformats.org/officeDocument/2006/relationships/hyperlink" Target="https://gist.github.com/Remy2020/39bcc8d95ce275cb33cdf3c60af73f11" TargetMode="External"/><Relationship Id="rId64" Type="http://schemas.openxmlformats.org/officeDocument/2006/relationships/hyperlink" Target="https://gist.github.com/mayadeutchman/2eda4bb9fe5aa2e561196823ea4ea1da" TargetMode="External"/><Relationship Id="rId69" Type="http://schemas.openxmlformats.org/officeDocument/2006/relationships/hyperlink" Target="https://gist.github.com/mayadeutchman/6e448fe9610e4ca371d706bf6460a28e" TargetMode="External"/><Relationship Id="rId80" Type="http://schemas.openxmlformats.org/officeDocument/2006/relationships/hyperlink" Target="https://gist.github.com/fb2d389c62f245c23463d4b39bc0fd2a" TargetMode="External"/><Relationship Id="rId85" Type="http://schemas.openxmlformats.org/officeDocument/2006/relationships/hyperlink" Target="https://gist.github.com/Remy2020/4252cc4864a0f6ceecac60207e961d7c" TargetMode="External"/><Relationship Id="rId12" Type="http://schemas.openxmlformats.org/officeDocument/2006/relationships/hyperlink" Target="https://gist.github.com/mayadeutchman/482059f3c023e32c87dc55367847e862" TargetMode="External"/><Relationship Id="rId17" Type="http://schemas.openxmlformats.org/officeDocument/2006/relationships/hyperlink" Target="https://gist.github.com/mayadeutchman/cf24ccc5f7042c933ceff20167935863" TargetMode="External"/><Relationship Id="rId33" Type="http://schemas.openxmlformats.org/officeDocument/2006/relationships/hyperlink" Target="https://gist.github.com/Remy2020/a0558514eb296622e4774bac94009620" TargetMode="External"/><Relationship Id="rId38" Type="http://schemas.openxmlformats.org/officeDocument/2006/relationships/hyperlink" Target="https://gist.github.com/mayadeutchman/432a46b038f224b24ec8188a13f72964" TargetMode="External"/><Relationship Id="rId59" Type="http://schemas.openxmlformats.org/officeDocument/2006/relationships/hyperlink" Target="https://gist.github.com/mayadeutchman/379e642c5f90be52d529482110ac800d" TargetMode="External"/><Relationship Id="rId103" Type="http://schemas.openxmlformats.org/officeDocument/2006/relationships/hyperlink" Target="https://gist.github.com/Remy2020/ece6677d1bdc7787a73f74fd3ba3a660" TargetMode="External"/><Relationship Id="rId108" Type="http://schemas.openxmlformats.org/officeDocument/2006/relationships/hyperlink" Target="https://gist.github.com/cmorin17/126836eb77a1f197bfaab9451976b35a" TargetMode="External"/><Relationship Id="rId54" Type="http://schemas.openxmlformats.org/officeDocument/2006/relationships/hyperlink" Target="https://gist.github.com/mayadeutchman/ec5dcace960d8dca666c023b00523ee6" TargetMode="External"/><Relationship Id="rId70" Type="http://schemas.openxmlformats.org/officeDocument/2006/relationships/hyperlink" Target="https://gist.github.com/micrittenden/d85f9ad2e534911a377003d31e8ad40d" TargetMode="External"/><Relationship Id="rId75" Type="http://schemas.openxmlformats.org/officeDocument/2006/relationships/hyperlink" Target="https://gist.github.com/Remy2020/8823f7f32ae158fb76261c253cdf6c81" TargetMode="External"/><Relationship Id="rId91" Type="http://schemas.openxmlformats.org/officeDocument/2006/relationships/hyperlink" Target="https://gist.github.com/ysun15/c5a6440d42d1700bb2ee15de5005727d" TargetMode="External"/><Relationship Id="rId96" Type="http://schemas.openxmlformats.org/officeDocument/2006/relationships/hyperlink" Target="https://gist.github.com/ysun15/7d3b645181d5f318f7fbedfb012b3c61" TargetMode="External"/><Relationship Id="rId1" Type="http://schemas.openxmlformats.org/officeDocument/2006/relationships/hyperlink" Target="https://gist.github.com/micrittenden/7e8d176d1bdb3faf195f14c07e2591a1" TargetMode="External"/><Relationship Id="rId6" Type="http://schemas.openxmlformats.org/officeDocument/2006/relationships/hyperlink" Target="https://gist.github.com/micrittenden/c774730c466adf0d075d40ce62cf8212" TargetMode="External"/><Relationship Id="rId15" Type="http://schemas.openxmlformats.org/officeDocument/2006/relationships/hyperlink" Target="https://gist.github.com/micrittenden/241f8fa9e421142ff69eead66858d595" TargetMode="External"/><Relationship Id="rId23" Type="http://schemas.openxmlformats.org/officeDocument/2006/relationships/hyperlink" Target="https://gist.github.com/mayadeutchman/6f8a98106bf74a7bd7dcda85049feec9" TargetMode="External"/><Relationship Id="rId28" Type="http://schemas.openxmlformats.org/officeDocument/2006/relationships/hyperlink" Target="https://gist.github.com/micrittenden/f1ccc0bf989cb364357fc5602a5c368e" TargetMode="External"/><Relationship Id="rId36" Type="http://schemas.openxmlformats.org/officeDocument/2006/relationships/hyperlink" Target="https://gist.github.com/micrittenden/15b51d97c2397a948a019ccedb285c99" TargetMode="External"/><Relationship Id="rId49" Type="http://schemas.openxmlformats.org/officeDocument/2006/relationships/hyperlink" Target="https://gist.github.com/micrittenden/464afbb19d368abac3a6792fa6006811" TargetMode="External"/><Relationship Id="rId57" Type="http://schemas.openxmlformats.org/officeDocument/2006/relationships/hyperlink" Target="https://gist.github.com/mayadeutchman/998d91f510bc0b750b3ae40b0c207ecb" TargetMode="External"/><Relationship Id="rId106" Type="http://schemas.openxmlformats.org/officeDocument/2006/relationships/hyperlink" Target="https://gist.github.com/Remy2020/a5f2ebd32ef0c53fffc9e5f6b0e8c289" TargetMode="External"/><Relationship Id="rId10" Type="http://schemas.openxmlformats.org/officeDocument/2006/relationships/hyperlink" Target="https://gist.github.com/mayadeutchman/12eb0677013df4c47639ff125a937b80" TargetMode="External"/><Relationship Id="rId31" Type="http://schemas.openxmlformats.org/officeDocument/2006/relationships/hyperlink" Target="https://gist.github.com/Remy2020/6c80fb96e00fcbc46628caffdf6676aa" TargetMode="External"/><Relationship Id="rId44" Type="http://schemas.openxmlformats.org/officeDocument/2006/relationships/hyperlink" Target="https://gist.github.com/Remy2020/e7d1325a8e8f17039323c7ea79619dbe" TargetMode="External"/><Relationship Id="rId52" Type="http://schemas.openxmlformats.org/officeDocument/2006/relationships/hyperlink" Target="https://gist.github.com/Remy2020/4f33149dd061d579e999abad9c7cafb3" TargetMode="External"/><Relationship Id="rId60" Type="http://schemas.openxmlformats.org/officeDocument/2006/relationships/hyperlink" Target="https://gist.github.com/mayadeutchman/7a2823d3ba6194497ecc375550119f93" TargetMode="External"/><Relationship Id="rId65" Type="http://schemas.openxmlformats.org/officeDocument/2006/relationships/hyperlink" Target="https://gist.github.com/mayadeutchman/b4fdca5aa49c7f8ec9ebb2a28064ff66" TargetMode="External"/><Relationship Id="rId73" Type="http://schemas.openxmlformats.org/officeDocument/2006/relationships/hyperlink" Target="https://gist.github.com/Remy2020/e241a602cf86fe1c0872eec7b652868d" TargetMode="External"/><Relationship Id="rId78" Type="http://schemas.openxmlformats.org/officeDocument/2006/relationships/hyperlink" Target="https://gist.github.com/ysun15/7a6a4d6bd8b22fef70a2d35012b72143" TargetMode="External"/><Relationship Id="rId81" Type="http://schemas.openxmlformats.org/officeDocument/2006/relationships/hyperlink" Target="https://gist.github.com/Remy2020/f8924d3456dc5d0f0a4ce0e996543751" TargetMode="External"/><Relationship Id="rId86" Type="http://schemas.openxmlformats.org/officeDocument/2006/relationships/hyperlink" Target="https://gist.github.com/Remy2020/156a333b3be9b0562c6db82b596e467f" TargetMode="External"/><Relationship Id="rId94" Type="http://schemas.openxmlformats.org/officeDocument/2006/relationships/hyperlink" Target="https://ejatlas.org/conflict/portezuelo-del-viento" TargetMode="External"/><Relationship Id="rId99" Type="http://schemas.openxmlformats.org/officeDocument/2006/relationships/hyperlink" Target="https://www.google.com/maps/search/Chicoasen+II+Hydroelectric+Plant+/@16.9856377,-93.1635486,959m/data=!3m1!1e3" TargetMode="External"/><Relationship Id="rId101" Type="http://schemas.openxmlformats.org/officeDocument/2006/relationships/hyperlink" Target="https://gist.github.com/Remy2020/e99b48ed8831fea334d724db9f9bf6f2" TargetMode="External"/><Relationship Id="rId4" Type="http://schemas.openxmlformats.org/officeDocument/2006/relationships/hyperlink" Target="https://gist.github.com/mayadeutchman/740ccad4bbb2d581038bd9860ac7b137" TargetMode="External"/><Relationship Id="rId9" Type="http://schemas.openxmlformats.org/officeDocument/2006/relationships/hyperlink" Target="https://gist.github.com/Remy2020/bd73cbe1ffb7d4511c7ae6e82c74ba01" TargetMode="External"/><Relationship Id="rId13" Type="http://schemas.openxmlformats.org/officeDocument/2006/relationships/hyperlink" Target="https://gist.github.com/mayadeutchman/482059f3c023e32c87dc55367847e862" TargetMode="External"/><Relationship Id="rId18" Type="http://schemas.openxmlformats.org/officeDocument/2006/relationships/hyperlink" Target="https://gist.github.com/Remy2020/f66d821015be48331cfb950db99f169f" TargetMode="External"/><Relationship Id="rId39" Type="http://schemas.openxmlformats.org/officeDocument/2006/relationships/hyperlink" Target="https://gist.github.com/Remy2020/a2e77cd57b185e5e250870aa86bcced9" TargetMode="External"/><Relationship Id="rId109" Type="http://schemas.openxmlformats.org/officeDocument/2006/relationships/hyperlink" Target="https://gist.github.com/Remy2020/e9ab39ba09fdc1a82feeb3a667127ccf" TargetMode="External"/><Relationship Id="rId34" Type="http://schemas.openxmlformats.org/officeDocument/2006/relationships/hyperlink" Target="https://gist.github.com/micrittenden/4db5cfb1de6a4fe919ed7b01ec1e5f0e" TargetMode="External"/><Relationship Id="rId50" Type="http://schemas.openxmlformats.org/officeDocument/2006/relationships/hyperlink" Target="https://gist.github.com/mayadeutchman/832d706f3b16bcf647b70b63ed19eb06" TargetMode="External"/><Relationship Id="rId55" Type="http://schemas.openxmlformats.org/officeDocument/2006/relationships/hyperlink" Target="https://gist.github.com/mayadeutchman/abc06b4492431608327527e436dbdb19" TargetMode="External"/><Relationship Id="rId76" Type="http://schemas.openxmlformats.org/officeDocument/2006/relationships/hyperlink" Target="https://gist.github.com/Remy2020/6a99cfdc42208086d8ddd29329a5c8a5" TargetMode="External"/><Relationship Id="rId97" Type="http://schemas.openxmlformats.org/officeDocument/2006/relationships/hyperlink" Target="https://gist.github.com/ysun15/0c11436bd8a14512af504662a51b4ad1" TargetMode="External"/><Relationship Id="rId104" Type="http://schemas.openxmlformats.org/officeDocument/2006/relationships/hyperlink" Target="https://gist.github.com/Remy2020/8dc783359266f3d3f0f29cd137bb6ace" TargetMode="External"/><Relationship Id="rId7" Type="http://schemas.openxmlformats.org/officeDocument/2006/relationships/hyperlink" Target="https://gist.github.com/micrittenden/f37520d486384aa04221fad2278ba0a2" TargetMode="External"/><Relationship Id="rId71" Type="http://schemas.openxmlformats.org/officeDocument/2006/relationships/hyperlink" Target="https://gist.github.com/micrittenden/aeeb98004c1b73ab52f5fc5415460262" TargetMode="External"/><Relationship Id="rId92" Type="http://schemas.openxmlformats.org/officeDocument/2006/relationships/hyperlink" Target="https://gist.github.com/Remy2020/c0cce58e8f60d75b35ae00aa7fcfc403" TargetMode="External"/><Relationship Id="rId2" Type="http://schemas.openxmlformats.org/officeDocument/2006/relationships/hyperlink" Target="https://gist.github.com/micrittenden/d063a91d5e7357e564c8f0e51632f72a" TargetMode="External"/><Relationship Id="rId29" Type="http://schemas.openxmlformats.org/officeDocument/2006/relationships/hyperlink" Target="https://gist.github.com/mayadeutchman/e4148d912db760e211c0def69abd8195" TargetMode="External"/><Relationship Id="rId24" Type="http://schemas.openxmlformats.org/officeDocument/2006/relationships/hyperlink" Target="https://gist.github.com/micrittenden/18f47b5d217646944e4b9c6b53ecc17f" TargetMode="External"/><Relationship Id="rId40" Type="http://schemas.openxmlformats.org/officeDocument/2006/relationships/hyperlink" Target="https://gist.github.com/Remy2020/c743e2fd157f10ea278cd957ea485784" TargetMode="External"/><Relationship Id="rId45" Type="http://schemas.openxmlformats.org/officeDocument/2006/relationships/hyperlink" Target="https://gist.github.com/mayadeutchman/1773ff82ce7fa88a95a4460180413752" TargetMode="External"/><Relationship Id="rId66" Type="http://schemas.openxmlformats.org/officeDocument/2006/relationships/hyperlink" Target="https://gist.github.com/mayadeutchman/c9e089d9fac10726fff62cdfa390e0e1" TargetMode="External"/><Relationship Id="rId87" Type="http://schemas.openxmlformats.org/officeDocument/2006/relationships/hyperlink" Target="https://gist.github.com/Remy2020/488fe13e8ae535e3c128affafb5dd243" TargetMode="External"/><Relationship Id="rId61" Type="http://schemas.openxmlformats.org/officeDocument/2006/relationships/hyperlink" Target="https://gist.github.com/mayadeutchman/19c469690e46f6537c5807496f2e25ff" TargetMode="External"/><Relationship Id="rId82" Type="http://schemas.openxmlformats.org/officeDocument/2006/relationships/hyperlink" Target="https://gist.github.com/Remy2020/eb8806be40383fcadef5e6612d664592" TargetMode="External"/><Relationship Id="rId19" Type="http://schemas.openxmlformats.org/officeDocument/2006/relationships/hyperlink" Target="https://gist.github.com/Remy2020/a62bde985737744a4de10db114412db8" TargetMode="External"/><Relationship Id="rId14" Type="http://schemas.openxmlformats.org/officeDocument/2006/relationships/hyperlink" Target="https://gist.github.com/mayadeutchman/5d06de7d4d06b21fb57e808f71b15d83" TargetMode="External"/><Relationship Id="rId30" Type="http://schemas.openxmlformats.org/officeDocument/2006/relationships/hyperlink" Target="https://gist.github.com/Remy2020/be93f5f522d4db25aa938feb72098189" TargetMode="External"/><Relationship Id="rId35" Type="http://schemas.openxmlformats.org/officeDocument/2006/relationships/hyperlink" Target="https://gist.github.com/Remy2020/60e99e83390407cc1aab7353d219de1e" TargetMode="External"/><Relationship Id="rId56" Type="http://schemas.openxmlformats.org/officeDocument/2006/relationships/hyperlink" Target="https://gist.github.com/Remy2020/c2619e9995ecb6df7fb05313355b6685" TargetMode="External"/><Relationship Id="rId77" Type="http://schemas.openxmlformats.org/officeDocument/2006/relationships/hyperlink" Target="https://gist.github.com/Remy2020/c02ce642b68de210631eb3b2db9cf0fa" TargetMode="External"/><Relationship Id="rId100" Type="http://schemas.openxmlformats.org/officeDocument/2006/relationships/hyperlink" Target="https://gist.github.com/Remy2020/59479bdcec31e6ec7994b9ddfc65bdbe" TargetMode="External"/><Relationship Id="rId105" Type="http://schemas.openxmlformats.org/officeDocument/2006/relationships/hyperlink" Target="https://gist.github.com/Remy2020/83488e67cf8a3b0bd9c795083d779ab0" TargetMode="External"/><Relationship Id="rId8" Type="http://schemas.openxmlformats.org/officeDocument/2006/relationships/hyperlink" Target="https://gist.github.com/Remy2020/3bc41ed46f116b8702b64faeba14cf4b" TargetMode="External"/><Relationship Id="rId51" Type="http://schemas.openxmlformats.org/officeDocument/2006/relationships/hyperlink" Target="https://gist.github.com/Remy2020/c7ba708c9d8c88e9e147532a787aef49" TargetMode="External"/><Relationship Id="rId72" Type="http://schemas.openxmlformats.org/officeDocument/2006/relationships/hyperlink" Target="https://gist.github.com/Remy2020/aa6809d9bdaf43b3a3f343905a731c3f" TargetMode="External"/><Relationship Id="rId93" Type="http://schemas.openxmlformats.org/officeDocument/2006/relationships/hyperlink" Target="https://gist.github.com/Remy2020/9f90a7da560610532e2f60c14a5d1add" TargetMode="External"/><Relationship Id="rId98" Type="http://schemas.openxmlformats.org/officeDocument/2006/relationships/hyperlink" Target="https://gist.github.com/Remy2020/452113a67dbd56914ac309303764bf93" TargetMode="External"/><Relationship Id="rId3" Type="http://schemas.openxmlformats.org/officeDocument/2006/relationships/hyperlink" Target="https://gist.github.com/ohhettinger/988aabca201628dff77fdea866187cff" TargetMode="External"/><Relationship Id="rId25" Type="http://schemas.openxmlformats.org/officeDocument/2006/relationships/hyperlink" Target="https://gist.github.com/mayadeutchman/33d4c1a486450aaa769b7c561754f68d" TargetMode="External"/><Relationship Id="rId46" Type="http://schemas.openxmlformats.org/officeDocument/2006/relationships/hyperlink" Target="https://gist.github.com/mayadeutchman/5c8cd6cf16b64cc67e6f9848cd81c10d" TargetMode="External"/><Relationship Id="rId67" Type="http://schemas.openxmlformats.org/officeDocument/2006/relationships/hyperlink" Target="https://gist.github.com/mayadeutchman/2c207f3aa93568977b9e8cfcbf386370" TargetMode="External"/><Relationship Id="rId20" Type="http://schemas.openxmlformats.org/officeDocument/2006/relationships/hyperlink" Target="https://gist.github.com/Remy2020/fd6b13e4f0aab3f7d93545db6af1c4bb" TargetMode="External"/><Relationship Id="rId41" Type="http://schemas.openxmlformats.org/officeDocument/2006/relationships/hyperlink" Target="https://gist.github.com/mayadeutchman/c97b4daff93725561a7ddc0983ee7b3c" TargetMode="External"/><Relationship Id="rId62" Type="http://schemas.openxmlformats.org/officeDocument/2006/relationships/hyperlink" Target="https://gist.github.com/mayadeutchman/7bbd8910fa13bdee088a535e998ecebf" TargetMode="External"/><Relationship Id="rId83" Type="http://schemas.openxmlformats.org/officeDocument/2006/relationships/hyperlink" Target="https://gist.github.com/Remy2020/9f8aa80f40a8f58458f832d5992bca75" TargetMode="External"/><Relationship Id="rId88" Type="http://schemas.openxmlformats.org/officeDocument/2006/relationships/hyperlink" Target="https://gist.github.com/Remy2020/79eb6c6f1cd157d902e03a142a55569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G1000"/>
  <sheetViews>
    <sheetView tabSelected="1" topLeftCell="S1" workbookViewId="0">
      <pane ySplit="1" topLeftCell="A158" activePane="bottomLeft" state="frozen"/>
      <selection pane="bottomLeft" activeCell="S159" sqref="S159"/>
    </sheetView>
  </sheetViews>
  <sheetFormatPr defaultColWidth="14.44140625" defaultRowHeight="15" customHeight="1" x14ac:dyDescent="0.25"/>
  <cols>
    <col min="1" max="1" width="10.33203125" customWidth="1"/>
    <col min="2" max="2" width="13.44140625" customWidth="1"/>
    <col min="3" max="5" width="16.77734375" customWidth="1"/>
    <col min="6" max="7" width="20.33203125" customWidth="1"/>
    <col min="8" max="8" width="18" customWidth="1"/>
    <col min="9" max="9" width="16.77734375" customWidth="1"/>
    <col min="10" max="10" width="21.77734375" customWidth="1"/>
    <col min="11" max="12" width="18.77734375" customWidth="1"/>
    <col min="13" max="13" width="20.77734375" customWidth="1"/>
    <col min="14" max="14" width="111.6640625" customWidth="1"/>
    <col min="15" max="15" width="19.77734375" customWidth="1"/>
    <col min="16" max="17" width="19.109375" customWidth="1"/>
    <col min="19" max="19" width="26.33203125" customWidth="1"/>
    <col min="20" max="20" width="16.6640625" customWidth="1"/>
    <col min="21" max="21" width="40" customWidth="1"/>
    <col min="22" max="22" width="18.109375" customWidth="1"/>
    <col min="23" max="23" width="24" customWidth="1"/>
    <col min="24" max="24" width="28.21875" customWidth="1"/>
    <col min="25" max="25" width="36.77734375" customWidth="1"/>
    <col min="26" max="26" width="22.33203125" customWidth="1"/>
  </cols>
  <sheetData>
    <row r="1" spans="1:33" ht="15.75" customHeight="1" x14ac:dyDescent="0.3">
      <c r="A1" s="2" t="s">
        <v>0</v>
      </c>
      <c r="B1" s="2" t="s">
        <v>1</v>
      </c>
      <c r="C1" s="3" t="s">
        <v>2</v>
      </c>
      <c r="D1" s="2" t="s">
        <v>3</v>
      </c>
      <c r="E1" s="2" t="s">
        <v>4</v>
      </c>
      <c r="F1" s="2" t="s">
        <v>5</v>
      </c>
      <c r="G1" s="2" t="s">
        <v>6</v>
      </c>
      <c r="H1" s="2" t="s">
        <v>7</v>
      </c>
      <c r="I1" s="2" t="s">
        <v>8</v>
      </c>
      <c r="J1" s="3" t="s">
        <v>9</v>
      </c>
      <c r="K1" s="2" t="s">
        <v>10</v>
      </c>
      <c r="L1" s="2" t="s">
        <v>11</v>
      </c>
      <c r="M1" s="2" t="s">
        <v>12</v>
      </c>
      <c r="N1" s="3" t="s">
        <v>13</v>
      </c>
      <c r="O1" s="1" t="s">
        <v>14</v>
      </c>
      <c r="P1" s="1" t="s">
        <v>15</v>
      </c>
      <c r="Q1" s="2" t="s">
        <v>16</v>
      </c>
      <c r="R1" s="3" t="s">
        <v>17</v>
      </c>
      <c r="S1" s="3" t="s">
        <v>18</v>
      </c>
      <c r="T1" s="3" t="s">
        <v>19</v>
      </c>
      <c r="U1" s="3" t="s">
        <v>20</v>
      </c>
      <c r="V1" s="2" t="s">
        <v>21</v>
      </c>
      <c r="W1" s="2" t="s">
        <v>27</v>
      </c>
      <c r="X1" s="2" t="s">
        <v>22</v>
      </c>
      <c r="Y1" s="2" t="s">
        <v>23</v>
      </c>
      <c r="Z1" s="2" t="s">
        <v>24</v>
      </c>
      <c r="AA1" s="4"/>
      <c r="AB1" s="4"/>
      <c r="AC1" s="4"/>
      <c r="AD1" s="4"/>
      <c r="AE1" s="4"/>
      <c r="AF1" s="4"/>
      <c r="AG1" s="4"/>
    </row>
    <row r="2" spans="1:33" ht="145.19999999999999" x14ac:dyDescent="0.25">
      <c r="A2" s="5">
        <f ca="1">IFERROR(__xludf.DUMMYFUNCTION("filter(Activities!A:R,Activities!V:V=""Quality Assured by SPM"",Geocoding!Q:Q=""Quality Assured by SPM"")"),1)</f>
        <v>1</v>
      </c>
      <c r="B2" s="6">
        <f ca="1">IFERROR(__xludf.DUMMYFUNCTION("""COMPUTED_VALUE"""),3)</f>
        <v>3</v>
      </c>
      <c r="C2" s="6" t="str">
        <f ca="1">IFERROR(__xludf.DUMMYFUNCTION("""COMPUTED_VALUE"""),"Fuerte Amador Cruise Terminal")</f>
        <v>Fuerte Amador Cruise Terminal</v>
      </c>
      <c r="D2" s="6" t="str">
        <f ca="1">IFERROR(__xludf.DUMMYFUNCTION("""COMPUTED_VALUE"""),"Other Chinese Institution")</f>
        <v>Other Chinese Institution</v>
      </c>
      <c r="E2" s="6" t="str">
        <f ca="1">IFERROR(__xludf.DUMMYFUNCTION("""COMPUTED_VALUE"""),"China Harbour Engineering Company")</f>
        <v>China Harbour Engineering Company</v>
      </c>
      <c r="F2" s="6" t="str">
        <f ca="1">IFERROR(__xludf.DUMMYFUNCTION("""COMPUTED_VALUE"""),"China Harbour Engineering Company,
Jan De Nul")</f>
        <v>China Harbour Engineering Company,
Jan De Nul</v>
      </c>
      <c r="G2" s="6">
        <f ca="1">IFERROR(__xludf.DUMMYFUNCTION("""COMPUTED_VALUE"""),1.4)</f>
        <v>1.4</v>
      </c>
      <c r="H2" s="6" t="str">
        <f ca="1">IFERROR(__xludf.DUMMYFUNCTION("""COMPUTED_VALUE"""),"Port, Tourism")</f>
        <v>Port, Tourism</v>
      </c>
      <c r="I2" s="6" t="str">
        <f ca="1">IFERROR(__xludf.DUMMYFUNCTION("""COMPUTED_VALUE"""),"Contract")</f>
        <v>Contract</v>
      </c>
      <c r="J2" s="7" t="str">
        <f ca="1">IFERROR(__xludf.DUMMYFUNCTION("""COMPUTED_VALUE"""),"$165,000,000 USD")</f>
        <v>$165,000,000 USD</v>
      </c>
      <c r="K2" s="7" t="str">
        <f ca="1">IFERROR(__xludf.DUMMYFUNCTION("""COMPUTED_VALUE"""),"PAN")</f>
        <v>PAN</v>
      </c>
      <c r="L2" s="7" t="str">
        <f ca="1">IFERROR(__xludf.DUMMYFUNCTION("""COMPUTED_VALUE"""),"Panama")</f>
        <v>Panama</v>
      </c>
      <c r="M2" s="6" t="str">
        <f ca="1">IFERROR(__xludf.DUMMYFUNCTION("""COMPUTED_VALUE"""),"Fuerte Amador Cruise Terminal, Amador, Panama City, Panama")</f>
        <v>Fuerte Amador Cruise Terminal, Amador, Panama City, Panama</v>
      </c>
      <c r="N2" s="6" t="str">
        <f ca="1">IFERROR(__xludf.DUMMYFUNCTION("""COMPUTED_VALUE"""),"China Harbour Engineering Company (With help from Belgian company, Jan De Nul) is building a port for cruise ships, which would also transition Perico Island into a tourist destination.  Organized directly by meetings between the Panamanian and Chinese go"&amp;"vernment this port could accomodate 2 mega cruise ships and 10000 passengers, with the eventual goal of a five mega cruise ship capacity in the future.")</f>
        <v>China Harbour Engineering Company (With help from Belgian company, Jan De Nul) is building a port for cruise ships, which would also transition Perico Island into a tourist destination.  Organized directly by meetings between the Panamanian and Chinese government this port could accomodate 2 mega cruise ships and 10000 passengers, with the eventual goal of a five mega cruise ship capacity in the future.</v>
      </c>
      <c r="O2" s="8">
        <f ca="1">IFERROR(__xludf.DUMMYFUNCTION("""COMPUTED_VALUE"""),43026)</f>
        <v>43026</v>
      </c>
      <c r="P2" s="6" t="str">
        <f ca="1">IFERROR(__xludf.DUMMYFUNCTION("""COMPUTED_VALUE"""),"N/A")</f>
        <v>N/A</v>
      </c>
      <c r="Q2" s="6" t="str">
        <f ca="1">IFERROR(__xludf.DUMMYFUNCTION("""COMPUTED_VALUE"""),"Under construction - delayed")</f>
        <v>Under construction - delayed</v>
      </c>
      <c r="R2" s="6" t="str">
        <f ca="1">IFERROR(__xludf.DUMMYFUNCTION("filter(Geocoding!H:M,Activities!V:V=""Quality Assured by SPM"",Geocoding!Q:Q=""Quality Assured by SPM"")"),"PRT")</f>
        <v>PRT</v>
      </c>
      <c r="S2" s="9" t="str">
        <f ca="1">IFERROR(__xludf.DUMMYFUNCTION("""COMPUTED_VALUE"""),"https://gist.github.com/micrittenden/7e8d176d1bdb3faf195f14c07e2591a1")</f>
        <v>https://gist.github.com/micrittenden/7e8d176d1bdb3faf195f14c07e2591a1</v>
      </c>
      <c r="T2" s="6" t="str">
        <f ca="1">IFERROR(__xludf.DUMMYFUNCTION("""COMPUTED_VALUE"""),"BLOB")</f>
        <v>BLOB</v>
      </c>
      <c r="U2" s="6" t="str">
        <f ca="1">IFERROR(__xludf.DUMMYFUNCTION("""COMPUTED_VALUE"""),"Used satellite imagery and followed google maps.")</f>
        <v>Used satellite imagery and followed google maps.</v>
      </c>
      <c r="V2" s="6" t="str">
        <f ca="1">IFERROR(__xludf.DUMMYFUNCTION("""COMPUTED_VALUE"""),"Yes (Both)")</f>
        <v>Yes (Both)</v>
      </c>
      <c r="W2" s="6" t="str">
        <f ca="1">IFERROR(__xludf.DUMMYFUNCTION("""COMPUTED_VALUE"""),"Provincia de Panama")</f>
        <v>Provincia de Panama</v>
      </c>
      <c r="X2" s="6" t="str">
        <f ca="1">IFERROR(__xludf.DUMMYFUNCTION("""COMPUTED_VALUE"""),"2018-05-19 | 2019-01-31 | 2019-05-17 | 2020-03-09")</f>
        <v>2018-05-19 | 2019-01-31 | 2019-05-17 | 2020-03-09</v>
      </c>
      <c r="Y2" s="6" t="str">
        <f ca="1">IFERROR(__xludf.DUMMYFUNCTION("""COMPUTED_VALUE"""),"The construction process of a cruise terminal at four different stages of the project. Land has been dredged/built up to extend the port area outward. Two long pier-like extensions are being built along the northern face of the terminal. Above ground stru"&amp;"ctures, perhaps buildings to shelter and process passengers, are being built along one of the two extensions leading onto the main land area. Still incomplete.")</f>
        <v>The construction process of a cruise terminal at four different stages of the project. Land has been dredged/built up to extend the port area outward. Two long pier-like extensions are being built along the northern face of the terminal. Above ground structures, perhaps buildings to shelter and process passengers, are being built along one of the two extensions leading onto the main land area. Still incomplete.</v>
      </c>
      <c r="Z2" s="6" t="str">
        <f ca="1">IFERROR(__xludf.DUMMYFUNCTION("""COMPUTED_VALUE"""),"LAT: 8.91632  LON: -79.52292")</f>
        <v>LAT: 8.91632  LON: -79.52292</v>
      </c>
      <c r="AA2" s="6"/>
      <c r="AB2" s="6"/>
      <c r="AC2" s="6"/>
      <c r="AD2" s="6"/>
      <c r="AE2" s="6"/>
      <c r="AF2" s="6"/>
      <c r="AG2" s="6"/>
    </row>
    <row r="3" spans="1:33" ht="52.8" x14ac:dyDescent="0.25">
      <c r="A3" s="6">
        <f ca="1">IFERROR(__xludf.DUMMYFUNCTION("""COMPUTED_VALUE"""),2)</f>
        <v>2</v>
      </c>
      <c r="B3" s="10">
        <f ca="1">IFERROR(__xludf.DUMMYFUNCTION("""COMPUTED_VALUE"""),4)</f>
        <v>4</v>
      </c>
      <c r="C3" s="6" t="str">
        <f ca="1">IFERROR(__xludf.DUMMYFUNCTION("""COMPUTED_VALUE"""),"Panama City Bridge")</f>
        <v>Panama City Bridge</v>
      </c>
      <c r="D3" s="6" t="str">
        <f ca="1">IFERROR(__xludf.DUMMYFUNCTION("""COMPUTED_VALUE"""),"Other Institution")</f>
        <v>Other Institution</v>
      </c>
      <c r="E3" s="6" t="str">
        <f ca="1">IFERROR(__xludf.DUMMYFUNCTION("""COMPUTED_VALUE"""),"Govt of Panama")</f>
        <v>Govt of Panama</v>
      </c>
      <c r="F3" s="6" t="str">
        <f ca="1">IFERROR(__xludf.DUMMYFUNCTION("""COMPUTED_VALUE"""),"China Communications Construction Co and China Harbour Engineering Company")</f>
        <v>China Communications Construction Co and China Harbour Engineering Company</v>
      </c>
      <c r="G3" s="6">
        <f ca="1">IFERROR(__xludf.DUMMYFUNCTION("""COMPUTED_VALUE"""),1.3)</f>
        <v>1.3</v>
      </c>
      <c r="H3" s="6" t="str">
        <f ca="1">IFERROR(__xludf.DUMMYFUNCTION("""COMPUTED_VALUE"""),"Bridge")</f>
        <v>Bridge</v>
      </c>
      <c r="I3" s="6" t="str">
        <f ca="1">IFERROR(__xludf.DUMMYFUNCTION("""COMPUTED_VALUE"""),"Contract")</f>
        <v>Contract</v>
      </c>
      <c r="J3" s="7" t="str">
        <f ca="1">IFERROR(__xludf.DUMMYFUNCTION("""COMPUTED_VALUE"""),"$1,400,000,000 USD")</f>
        <v>$1,400,000,000 USD</v>
      </c>
      <c r="K3" s="6" t="str">
        <f ca="1">IFERROR(__xludf.DUMMYFUNCTION("""COMPUTED_VALUE"""),"PAN")</f>
        <v>PAN</v>
      </c>
      <c r="L3" s="6" t="str">
        <f ca="1">IFERROR(__xludf.DUMMYFUNCTION("""COMPUTED_VALUE"""),"Panama")</f>
        <v>Panama</v>
      </c>
      <c r="M3" s="6" t="str">
        <f ca="1">IFERROR(__xludf.DUMMYFUNCTION("""COMPUTED_VALUE"""),"Panama City Bridge, Panama City, Panama")</f>
        <v>Panama City Bridge, Panama City, Panama</v>
      </c>
      <c r="N3" s="6" t="str">
        <f ca="1">IFERROR(__xludf.DUMMYFUNCTION("""COMPUTED_VALUE"""),"Following Chinese President Xi Jinping's first visit to Panama, the government of Panama awarded a contract to a Chinese consortium to build the fourth bridge over the Panama canal.  The 6.5 km bridge, built just north of the Bridge of the Americas, will "&amp;"include six lanes of traffic and an extension of the Panama Metro.  The bridge will connect Panama City and its western suburbs.")</f>
        <v>Following Chinese President Xi Jinping's first visit to Panama, the government of Panama awarded a contract to a Chinese consortium to build the fourth bridge over the Panama canal.  The 6.5 km bridge, built just north of the Bridge of the Americas, will include six lanes of traffic and an extension of the Panama Metro.  The bridge will connect Panama City and its western suburbs.</v>
      </c>
      <c r="O3" s="6" t="str">
        <f ca="1">IFERROR(__xludf.DUMMYFUNCTION("""COMPUTED_VALUE"""),"12/00/2018")</f>
        <v>12/00/2018</v>
      </c>
      <c r="P3" s="6" t="str">
        <f ca="1">IFERROR(__xludf.DUMMYFUNCTION("""COMPUTED_VALUE"""),"N/A")</f>
        <v>N/A</v>
      </c>
      <c r="Q3" s="6" t="str">
        <f ca="1">IFERROR(__xludf.DUMMYFUNCTION("""COMPUTED_VALUE"""),"Cancelled")</f>
        <v>Cancelled</v>
      </c>
      <c r="R3" s="6" t="str">
        <f ca="1">IFERROR(__xludf.DUMMYFUNCTION("""COMPUTED_VALUE"""),"BDG")</f>
        <v>BDG</v>
      </c>
      <c r="S3" s="9" t="str">
        <f ca="1">IFERROR(__xludf.DUMMYFUNCTION("""COMPUTED_VALUE"""),"https://gist.github.com/micrittenden/d063a91d5e7357e564c8f0e51632f72a")</f>
        <v>https://gist.github.com/micrittenden/d063a91d5e7357e564c8f0e51632f72a</v>
      </c>
      <c r="T3" s="6" t="str">
        <f ca="1">IFERROR(__xludf.DUMMYFUNCTION("""COMPUTED_VALUE"""),"BLOB")</f>
        <v>BLOB</v>
      </c>
      <c r="U3" s="6" t="str">
        <f ca="1">IFERROR(__xludf.DUMMYFUNCTION("""COMPUTED_VALUE"""),"Followed map of bridge here: https://www.bnamericas.com/en/features/project-spotlight-4th-bridge-over-the-panama-canal-----")</f>
        <v>Followed map of bridge here: https://www.bnamericas.com/en/features/project-spotlight-4th-bridge-over-the-panama-canal-----</v>
      </c>
      <c r="V3" s="6" t="str">
        <f ca="1">IFERROR(__xludf.DUMMYFUNCTION("""COMPUTED_VALUE"""),"Yes (Geocoded)")</f>
        <v>Yes (Geocoded)</v>
      </c>
      <c r="W3" s="6" t="str">
        <f ca="1">IFERROR(__xludf.DUMMYFUNCTION("""COMPUTED_VALUE"""),"NA")</f>
        <v>NA</v>
      </c>
      <c r="X3" s="6"/>
      <c r="Y3" s="6" t="str">
        <f ca="1">IFERROR(__xludf.DUMMYFUNCTION("""COMPUTED_VALUE"""),"Project has not begun full scale construction")</f>
        <v>Project has not begun full scale construction</v>
      </c>
      <c r="Z3" s="6" t="str">
        <f ca="1">IFERROR(__xludf.DUMMYFUNCTION("""COMPUTED_VALUE"""),"LAT: 8.94849 LON: -79.56626")</f>
        <v>LAT: 8.94849 LON: -79.56626</v>
      </c>
      <c r="AA3" s="6"/>
      <c r="AB3" s="6"/>
      <c r="AC3" s="6"/>
      <c r="AD3" s="6"/>
      <c r="AE3" s="6"/>
      <c r="AF3" s="6"/>
      <c r="AG3" s="6"/>
    </row>
    <row r="4" spans="1:33" ht="39.6" x14ac:dyDescent="0.25">
      <c r="A4" s="6">
        <f ca="1">IFERROR(__xludf.DUMMYFUNCTION("""COMPUTED_VALUE"""),3)</f>
        <v>3</v>
      </c>
      <c r="B4" s="10">
        <f ca="1">IFERROR(__xludf.DUMMYFUNCTION("""COMPUTED_VALUE"""),4)</f>
        <v>4</v>
      </c>
      <c r="C4" s="6" t="str">
        <f ca="1">IFERROR(__xludf.DUMMYFUNCTION("""COMPUTED_VALUE"""),"Trans-Panama High-Speed Railway")</f>
        <v>Trans-Panama High-Speed Railway</v>
      </c>
      <c r="D4" s="6" t="str">
        <f ca="1">IFERROR(__xludf.DUMMYFUNCTION("""COMPUTED_VALUE"""),"Other Chinese Institution")</f>
        <v>Other Chinese Institution</v>
      </c>
      <c r="E4" s="6" t="str">
        <f ca="1">IFERROR(__xludf.DUMMYFUNCTION("""COMPUTED_VALUE"""),"PRC")</f>
        <v>PRC</v>
      </c>
      <c r="F4" s="6" t="str">
        <f ca="1">IFERROR(__xludf.DUMMYFUNCTION("""COMPUTED_VALUE"""),"China Railway Design Corporation")</f>
        <v>China Railway Design Corporation</v>
      </c>
      <c r="G4" s="6">
        <f ca="1">IFERROR(__xludf.DUMMYFUNCTION("""COMPUTED_VALUE"""),1.1)</f>
        <v>1.1000000000000001</v>
      </c>
      <c r="H4" s="6" t="str">
        <f ca="1">IFERROR(__xludf.DUMMYFUNCTION("""COMPUTED_VALUE"""),"Rail")</f>
        <v>Rail</v>
      </c>
      <c r="I4" s="6" t="str">
        <f ca="1">IFERROR(__xludf.DUMMYFUNCTION("""COMPUTED_VALUE"""),"Vague")</f>
        <v>Vague</v>
      </c>
      <c r="J4" s="7" t="str">
        <f ca="1">IFERROR(__xludf.DUMMYFUNCTION("""COMPUTED_VALUE"""),"$4,000,000,000 USD")</f>
        <v>$4,000,000,000 USD</v>
      </c>
      <c r="K4" s="6" t="str">
        <f ca="1">IFERROR(__xludf.DUMMYFUNCTION("""COMPUTED_VALUE"""),"PAN")</f>
        <v>PAN</v>
      </c>
      <c r="L4" s="6" t="str">
        <f ca="1">IFERROR(__xludf.DUMMYFUNCTION("""COMPUTED_VALUE"""),"Panama")</f>
        <v>Panama</v>
      </c>
      <c r="M4" s="6" t="str">
        <f ca="1">IFERROR(__xludf.DUMMYFUNCTION("""COMPUTED_VALUE"""),"Panama City, Panama to David, Panama")</f>
        <v>Panama City, Panama to David, Panama</v>
      </c>
      <c r="N4" s="6" t="str">
        <f ca="1">IFERROR(__xludf.DUMMYFUNCTION("""COMPUTED_VALUE"""),"China Railway Design Corporation's $16 million feasibility study for a trans-Panama high-speed railway was recently approved by the Panamanian government.  The railway will stretch 391 km between Panama and Costa Rica. CRDC is a state-owned subsidary of C"&amp;"RCC.")</f>
        <v>China Railway Design Corporation's $16 million feasibility study for a trans-Panama high-speed railway was recently approved by the Panamanian government.  The railway will stretch 391 km between Panama and Costa Rica. CRDC is a state-owned subsidary of CRCC.</v>
      </c>
      <c r="O4" s="11">
        <f ca="1">IFERROR(__xludf.DUMMYFUNCTION("""COMPUTED_VALUE"""),43545)</f>
        <v>43545</v>
      </c>
      <c r="P4" s="6" t="str">
        <f ca="1">IFERROR(__xludf.DUMMYFUNCTION("""COMPUTED_VALUE"""),"N/A")</f>
        <v>N/A</v>
      </c>
      <c r="Q4" s="6" t="str">
        <f ca="1">IFERROR(__xludf.DUMMYFUNCTION("""COMPUTED_VALUE"""),"Cancelled")</f>
        <v>Cancelled</v>
      </c>
      <c r="R4" s="6" t="str">
        <f ca="1">IFERROR(__xludf.DUMMYFUNCTION("""COMPUTED_VALUE"""),"RR")</f>
        <v>RR</v>
      </c>
      <c r="S4" s="6" t="str">
        <f ca="1">IFERROR(__xludf.DUMMYFUNCTION("""COMPUTED_VALUE"""),"PAN_ADM0_2_0_0_0")</f>
        <v>PAN_ADM0_2_0_0_0</v>
      </c>
      <c r="T4" s="6" t="str">
        <f ca="1">IFERROR(__xludf.DUMMYFUNCTION("""COMPUTED_VALUE"""),"PCLI")</f>
        <v>PCLI</v>
      </c>
      <c r="U4" s="6" t="str">
        <f ca="1">IFERROR(__xludf.DUMMYFUNCTION("""COMPUTED_VALUE"""),"Coded up to country level")</f>
        <v>Coded up to country level</v>
      </c>
      <c r="V4" s="6" t="str">
        <f ca="1">IFERROR(__xludf.DUMMYFUNCTION("""COMPUTED_VALUE"""),"No")</f>
        <v>No</v>
      </c>
      <c r="W4" s="6" t="str">
        <f ca="1">IFERROR(__xludf.DUMMYFUNCTION("""COMPUTED_VALUE"""),"NA")</f>
        <v>NA</v>
      </c>
      <c r="X4" s="6"/>
      <c r="Y4" s="6" t="str">
        <f ca="1">IFERROR(__xludf.DUMMYFUNCTION("""COMPUTED_VALUE"""),"Project has not yet begun construction.")</f>
        <v>Project has not yet begun construction.</v>
      </c>
      <c r="Z4" s="6"/>
      <c r="AA4" s="6"/>
      <c r="AB4" s="6"/>
      <c r="AC4" s="6"/>
      <c r="AD4" s="6"/>
      <c r="AE4" s="6"/>
      <c r="AF4" s="6"/>
      <c r="AG4" s="6"/>
    </row>
    <row r="5" spans="1:33" ht="92.4" x14ac:dyDescent="0.25">
      <c r="A5" s="6">
        <f ca="1">IFERROR(__xludf.DUMMYFUNCTION("""COMPUTED_VALUE"""),4)</f>
        <v>4</v>
      </c>
      <c r="B5" s="10">
        <f ca="1">IFERROR(__xludf.DUMMYFUNCTION("""COMPUTED_VALUE"""),3)</f>
        <v>3</v>
      </c>
      <c r="C5" s="6" t="str">
        <f ca="1">IFERROR(__xludf.DUMMYFUNCTION("""COMPUTED_VALUE"""),"Amador Convention Center")</f>
        <v>Amador Convention Center</v>
      </c>
      <c r="D5" s="6" t="str">
        <f ca="1">IFERROR(__xludf.DUMMYFUNCTION("""COMPUTED_VALUE"""),"Other Institution")</f>
        <v>Other Institution</v>
      </c>
      <c r="E5" s="6" t="str">
        <f ca="1">IFERROR(__xludf.DUMMYFUNCTION("""COMPUTED_VALUE"""),"Govt of Panama")</f>
        <v>Govt of Panama</v>
      </c>
      <c r="F5" s="6" t="str">
        <f ca="1">IFERROR(__xludf.DUMMYFUNCTION("""COMPUTED_VALUE"""),"China Construction America affiliated to China State Construction Engineering Corporation (CSCEC)")</f>
        <v>China Construction America affiliated to China State Construction Engineering Corporation (CSCEC)</v>
      </c>
      <c r="G5" s="6">
        <f ca="1">IFERROR(__xludf.DUMMYFUNCTION("""COMPUTED_VALUE"""),1.3)</f>
        <v>1.3</v>
      </c>
      <c r="H5" s="6" t="str">
        <f ca="1">IFERROR(__xludf.DUMMYFUNCTION("""COMPUTED_VALUE"""),"Recreational")</f>
        <v>Recreational</v>
      </c>
      <c r="I5" s="6" t="str">
        <f ca="1">IFERROR(__xludf.DUMMYFUNCTION("""COMPUTED_VALUE"""),"Contract")</f>
        <v>Contract</v>
      </c>
      <c r="J5" s="7" t="str">
        <f ca="1">IFERROR(__xludf.DUMMYFUNCTION("""COMPUTED_VALUE"""),"$209,700,000 USD")</f>
        <v>$209,700,000 USD</v>
      </c>
      <c r="K5" s="6" t="str">
        <f ca="1">IFERROR(__xludf.DUMMYFUNCTION("""COMPUTED_VALUE"""),"PAN")</f>
        <v>PAN</v>
      </c>
      <c r="L5" s="6" t="str">
        <f ca="1">IFERROR(__xludf.DUMMYFUNCTION("""COMPUTED_VALUE"""),"Panama")</f>
        <v>Panama</v>
      </c>
      <c r="M5" s="6" t="str">
        <f ca="1">IFERROR(__xludf.DUMMYFUNCTION("""COMPUTED_VALUE"""),"Amador Convention Center, Panama City, Panama")</f>
        <v>Amador Convention Center, Panama City, Panama</v>
      </c>
      <c r="N5" s="6" t="str">
        <f ca="1">IFERROR(__xludf.DUMMYFUNCTION("""COMPUTED_VALUE"""),"The planning and construction of the Amador Convention Center located along the Amador Causeway, a four-mile-long thoroughfare that separates the Panama Canal from the Pacific Ocean and contains a concentration of Panama City’s tourism attractions, began "&amp;"in 2013.  However, shortly after, the project was abandoned due to liquidity issues. In 2016, the contract was picked up by Chinese companies, with an expected finish date in 2018. Due to issues with the structural integrity, the grand opening was delayed"&amp;" until September of 2019 and now the convention center is completed and open.  Initially the project cost about $193.7 million, but costs grew to about $210 million after delays and other issues. Panama signed an explicit MOU with PRC the year after this "&amp;"project started and CSCEC is a state-owned company.")</f>
        <v>The planning and construction of the Amador Convention Center located along the Amador Causeway, a four-mile-long thoroughfare that separates the Panama Canal from the Pacific Ocean and contains a concentration of Panama City’s tourism attractions, began in 2013.  However, shortly after, the project was abandoned due to liquidity issues. In 2016, the contract was picked up by Chinese companies, with an expected finish date in 2018. Due to issues with the structural integrity, the grand opening was delayed until September of 2019 and now the convention center is completed and open.  Initially the project cost about $193.7 million, but costs grew to about $210 million after delays and other issues. Panama signed an explicit MOU with PRC the year after this project started and CSCEC is a state-owned company.</v>
      </c>
      <c r="O5" s="6" t="str">
        <f ca="1">IFERROR(__xludf.DUMMYFUNCTION("""COMPUTED_VALUE"""),"00/00/16")</f>
        <v>00/00/16</v>
      </c>
      <c r="P5" s="12">
        <f ca="1">IFERROR(__xludf.DUMMYFUNCTION("""COMPUTED_VALUE"""),43738)</f>
        <v>43738</v>
      </c>
      <c r="Q5" s="6" t="str">
        <f ca="1">IFERROR(__xludf.DUMMYFUNCTION("""COMPUTED_VALUE"""),"Completed")</f>
        <v>Completed</v>
      </c>
      <c r="R5" s="6" t="str">
        <f ca="1">IFERROR(__xludf.DUMMYFUNCTION("""COMPUTED_VALUE"""),"BLDG")</f>
        <v>BLDG</v>
      </c>
      <c r="S5" s="9" t="str">
        <f ca="1">IFERROR(__xludf.DUMMYFUNCTION("""COMPUTED_VALUE"""),"https://gist.github.com/ohhettinger/988aabca201628dff77fdea866187cff")</f>
        <v>https://gist.github.com/ohhettinger/988aabca201628dff77fdea866187cff</v>
      </c>
      <c r="T5" s="6" t="str">
        <f ca="1">IFERROR(__xludf.DUMMYFUNCTION("""COMPUTED_VALUE"""),"BLOB")</f>
        <v>BLOB</v>
      </c>
      <c r="U5" s="6" t="str">
        <f ca="1">IFERROR(__xludf.DUMMYFUNCTION("""COMPUTED_VALUE"""),"Looked at satellite imagery and followed google maps")</f>
        <v>Looked at satellite imagery and followed google maps</v>
      </c>
      <c r="V5" s="6" t="str">
        <f ca="1">IFERROR(__xludf.DUMMYFUNCTION("""COMPUTED_VALUE"""),"Yes (Both)")</f>
        <v>Yes (Both)</v>
      </c>
      <c r="W5" s="6" t="str">
        <f ca="1">IFERROR(__xludf.DUMMYFUNCTION("""COMPUTED_VALUE"""),"Provincia de Panama")</f>
        <v>Provincia de Panama</v>
      </c>
      <c r="X5" s="6" t="str">
        <f ca="1">IFERROR(__xludf.DUMMYFUNCTION("""COMPUTED_VALUE"""),"2018-01-20 | 2018-03-04 | 2018-10-06 | 2019-11-04 ")</f>
        <v xml:space="preserve">2018-01-20 | 2018-03-04 | 2018-10-06 | 2019-11-04 </v>
      </c>
      <c r="Y5" s="6" t="str">
        <f ca="1">IFERROR(__xludf.DUMMYFUNCTION("""COMPUTED_VALUE"""),"Images show progression of the construction of the main section of the convention center over time")</f>
        <v>Images show progression of the construction of the main section of the convention center over time</v>
      </c>
      <c r="Z5" s="6"/>
      <c r="AA5" s="6"/>
      <c r="AB5" s="6"/>
      <c r="AC5" s="6"/>
      <c r="AD5" s="6"/>
      <c r="AE5" s="6"/>
      <c r="AF5" s="6"/>
      <c r="AG5" s="6"/>
    </row>
    <row r="6" spans="1:33" ht="171.6" x14ac:dyDescent="0.25">
      <c r="A6" s="6">
        <f ca="1">IFERROR(__xludf.DUMMYFUNCTION("""COMPUTED_VALUE"""),5)</f>
        <v>5</v>
      </c>
      <c r="B6" s="10">
        <f ca="1">IFERROR(__xludf.DUMMYFUNCTION("""COMPUTED_VALUE"""),2)</f>
        <v>2</v>
      </c>
      <c r="C6" s="6" t="str">
        <f ca="1">IFERROR(__xludf.DUMMYFUNCTION("""COMPUTED_VALUE"""),"500kV Chiriquí Grande-Panamá III Project")</f>
        <v>500kV Chiriquí Grande-Panamá III Project</v>
      </c>
      <c r="D6" s="6" t="str">
        <f ca="1">IFERROR(__xludf.DUMMYFUNCTION("""COMPUTED_VALUE"""),"Other Institution")</f>
        <v>Other Institution</v>
      </c>
      <c r="E6" s="6" t="str">
        <f ca="1">IFERROR(__xludf.DUMMYFUNCTION("""COMPUTED_VALUE"""),"N/A")</f>
        <v>N/A</v>
      </c>
      <c r="F6" s="6" t="str">
        <f ca="1">IFERROR(__xludf.DUMMYFUNCTION("""COMPUTED_VALUE"""),"China Electrical Power Equipment and Technology Co. Ltd., 
Interconexión Eléctrica, S.A.,
Consorcio Chiriquí Transmisora de Energía, 
Consorcio Four Seasons,
Consorcio de transmisión Vasco Núñez de Balboa")</f>
        <v>China Electrical Power Equipment and Technology Co. Ltd., 
Interconexión Eléctrica, S.A.,
Consorcio Chiriquí Transmisora de Energía, 
Consorcio Four Seasons,
Consorcio de transmisión Vasco Núñez de Balboa</v>
      </c>
      <c r="G6" s="6">
        <f ca="1">IFERROR(__xludf.DUMMYFUNCTION("""COMPUTED_VALUE"""),1.3)</f>
        <v>1.3</v>
      </c>
      <c r="H6" s="6" t="str">
        <f ca="1">IFERROR(__xludf.DUMMYFUNCTION("""COMPUTED_VALUE"""),"Energy - general")</f>
        <v>Energy - general</v>
      </c>
      <c r="I6" s="6" t="str">
        <f ca="1">IFERROR(__xludf.DUMMYFUNCTION("""COMPUTED_VALUE"""),"Contract")</f>
        <v>Contract</v>
      </c>
      <c r="J6" s="7" t="str">
        <f ca="1">IFERROR(__xludf.DUMMYFUNCTION("""COMPUTED_VALUE"""),"$520,000,000 USD")</f>
        <v>$520,000,000 USD</v>
      </c>
      <c r="K6" s="6" t="str">
        <f ca="1">IFERROR(__xludf.DUMMYFUNCTION("""COMPUTED_VALUE"""),"PAN")</f>
        <v>PAN</v>
      </c>
      <c r="L6" s="6" t="str">
        <f ca="1">IFERROR(__xludf.DUMMYFUNCTION("""COMPUTED_VALUE"""),"Panama")</f>
        <v>Panama</v>
      </c>
      <c r="M6" s="6" t="str">
        <f ca="1">IFERROR(__xludf.DUMMYFUNCTION("""COMPUTED_VALUE"""),"Chiriquí Grande Substation in Bocas del Toro Province to Panama III Substation in Panama Province")</f>
        <v>Chiriquí Grande Substation in Bocas del Toro Province to Panama III Substation in Panama Province</v>
      </c>
      <c r="N6" s="6" t="str">
        <f ca="1">IFERROR(__xludf.DUMMYFUNCTION("""COMPUTED_VALUE"""),"Construction of a new 500/230 KV Chiriquí Grande substation, built as an extension of the existing 500/230 KV Panama III substation, as well as the installation of a Static-Var Compensator of +150 / – 30 MVAR at Panama III substation have been delayed in "&amp;"response to Chinese firms' failures to meet the minimum requirements of the tender.  While planning began in February of 2018, the current initiatives are being evaluated as of September 2019. CET is a subsidary of the State Grid Corporation of China (SGC"&amp;"C), a PRC owned company.")</f>
        <v>Construction of a new 500/230 KV Chiriquí Grande substation, built as an extension of the existing 500/230 KV Panama III substation, as well as the installation of a Static-Var Compensator of +150 / – 30 MVAR at Panama III substation have been delayed in response to Chinese firms' failures to meet the minimum requirements of the tender.  While planning began in February of 2018, the current initiatives are being evaluated as of September 2019. CET is a subsidary of the State Grid Corporation of China (SGCC), a PRC owned company.</v>
      </c>
      <c r="O6" s="6" t="str">
        <f ca="1">IFERROR(__xludf.DUMMYFUNCTION("""COMPUTED_VALUE"""),"02/00/2018")</f>
        <v>02/00/2018</v>
      </c>
      <c r="P6" s="6" t="str">
        <f ca="1">IFERROR(__xludf.DUMMYFUNCTION("""COMPUTED_VALUE"""),"N/A")</f>
        <v>N/A</v>
      </c>
      <c r="Q6" s="6" t="str">
        <f ca="1">IFERROR(__xludf.DUMMYFUNCTION("""COMPUTED_VALUE"""),"Delayed")</f>
        <v>Delayed</v>
      </c>
      <c r="R6" s="6" t="str">
        <f ca="1">IFERROR(__xludf.DUMMYFUNCTION("""COMPUTED_VALUE"""),"PS")</f>
        <v>PS</v>
      </c>
      <c r="S6" s="6" t="str">
        <f ca="1">IFERROR(__xludf.DUMMYFUNCTION("""COMPUTED_VALUE"""),"PAN_ADM0_2_0_0_0")</f>
        <v>PAN_ADM0_2_0_0_0</v>
      </c>
      <c r="T6" s="6" t="str">
        <f ca="1">IFERROR(__xludf.DUMMYFUNCTION("""COMPUTED_VALUE"""),"PCLI")</f>
        <v>PCLI</v>
      </c>
      <c r="U6" s="6" t="str">
        <f ca="1">IFERROR(__xludf.DUMMYFUNCTION("""COMPUTED_VALUE"""),"Used geoboundaries data version 2.0 and coded up to the country level because this activity takes place across two provinces.")</f>
        <v>Used geoboundaries data version 2.0 and coded up to the country level because this activity takes place across two provinces.</v>
      </c>
      <c r="V6" s="6" t="str">
        <f ca="1">IFERROR(__xludf.DUMMYFUNCTION("""COMPUTED_VALUE"""),"No")</f>
        <v>No</v>
      </c>
      <c r="W6" s="6" t="str">
        <f ca="1">IFERROR(__xludf.DUMMYFUNCTION("""COMPUTED_VALUE"""),"NA")</f>
        <v>NA</v>
      </c>
      <c r="X6" s="6"/>
      <c r="Y6" s="6" t="str">
        <f ca="1">IFERROR(__xludf.DUMMYFUNCTION("""COMPUTED_VALUE"""),"Project is still undergoing feasability studies.")</f>
        <v>Project is still undergoing feasability studies.</v>
      </c>
      <c r="Z6" s="6"/>
      <c r="AA6" s="6"/>
      <c r="AB6" s="6"/>
      <c r="AC6" s="6"/>
      <c r="AD6" s="6"/>
      <c r="AE6" s="6"/>
      <c r="AF6" s="6"/>
      <c r="AG6" s="6"/>
    </row>
    <row r="7" spans="1:33" ht="92.4" x14ac:dyDescent="0.25">
      <c r="A7" s="6">
        <f ca="1">IFERROR(__xludf.DUMMYFUNCTION("""COMPUTED_VALUE"""),6)</f>
        <v>6</v>
      </c>
      <c r="B7" s="10">
        <f ca="1">IFERROR(__xludf.DUMMYFUNCTION("""COMPUTED_VALUE"""),2)</f>
        <v>2</v>
      </c>
      <c r="C7" s="6" t="str">
        <f ca="1">IFERROR(__xludf.DUMMYFUNCTION("""COMPUTED_VALUE"""),"Colón Container Port")</f>
        <v>Colón Container Port</v>
      </c>
      <c r="D7" s="6" t="str">
        <f ca="1">IFERROR(__xludf.DUMMYFUNCTION("""COMPUTED_VALUE"""),"Other Chinese Institution")</f>
        <v>Other Chinese Institution</v>
      </c>
      <c r="E7" s="6" t="str">
        <f ca="1">IFERROR(__xludf.DUMMYFUNCTION("""COMPUTED_VALUE"""),"Shanghai Gorgeous")</f>
        <v>Shanghai Gorgeous</v>
      </c>
      <c r="F7" s="6" t="str">
        <f ca="1">IFERROR(__xludf.DUMMYFUNCTION("""COMPUTED_VALUE"""),"China Landbridge , China Communications Construction Company")</f>
        <v>China Landbridge , China Communications Construction Company</v>
      </c>
      <c r="G7" s="6">
        <f ca="1">IFERROR(__xludf.DUMMYFUNCTION("""COMPUTED_VALUE"""),1.2)</f>
        <v>1.2</v>
      </c>
      <c r="H7" s="6" t="str">
        <f ca="1">IFERROR(__xludf.DUMMYFUNCTION("""COMPUTED_VALUE"""),"Port")</f>
        <v>Port</v>
      </c>
      <c r="I7" s="6" t="str">
        <f ca="1">IFERROR(__xludf.DUMMYFUNCTION("""COMPUTED_VALUE"""),"Contract")</f>
        <v>Contract</v>
      </c>
      <c r="J7" s="7" t="str">
        <f ca="1">IFERROR(__xludf.DUMMYFUNCTION("""COMPUTED_VALUE"""),"$1,000,000,000 USD")</f>
        <v>$1,000,000,000 USD</v>
      </c>
      <c r="K7" s="6" t="str">
        <f ca="1">IFERROR(__xludf.DUMMYFUNCTION("""COMPUTED_VALUE"""),"PAN")</f>
        <v>PAN</v>
      </c>
      <c r="L7" s="6" t="str">
        <f ca="1">IFERROR(__xludf.DUMMYFUNCTION("""COMPUTED_VALUE"""),"Panama")</f>
        <v>Panama</v>
      </c>
      <c r="M7" s="6" t="str">
        <f ca="1">IFERROR(__xludf.DUMMYFUNCTION("""COMPUTED_VALUE"""),"Panama Colón Container Port, Isle Margarita, Province of Colón, Panama")</f>
        <v>Panama Colón Container Port, Isle Margarita, Province of Colón, Panama</v>
      </c>
      <c r="N7" s="6" t="str">
        <f ca="1">IFERROR(__xludf.DUMMYFUNCTION("""COMPUTED_VALUE"""),"In May 2016, the deal for a new terminal located in Isla Margarita, province of Colon, near the Caribbean entrance to the Panama Canal was signed.  China Communications Construction Company served as the construction group for the project, beginning work "&amp;"on Wednesday, June 7, 2017 with the construction of docks and a container yard. This project marks the first container terminal designed to handle Post-Panamax ships.   Investment for this project comes from private Chinese group, Shanghai Gorgeous.  ")</f>
        <v xml:space="preserve">In May 2016, the deal for a new terminal located in Isla Margarita, province of Colon, near the Caribbean entrance to the Panama Canal was signed.  China Communications Construction Company served as the construction group for the project, beginning work on Wednesday, June 7, 2017 with the construction of docks and a container yard. This project marks the first container terminal designed to handle Post-Panamax ships.   Investment for this project comes from private Chinese group, Shanghai Gorgeous.  </v>
      </c>
      <c r="O7" s="6" t="str">
        <f ca="1">IFERROR(__xludf.DUMMYFUNCTION("""COMPUTED_VALUE"""),"05/00/2016")</f>
        <v>05/00/2016</v>
      </c>
      <c r="P7" s="12">
        <f ca="1">IFERROR(__xludf.DUMMYFUNCTION("""COMPUTED_VALUE"""),43739)</f>
        <v>43739</v>
      </c>
      <c r="Q7" s="6" t="str">
        <f ca="1">IFERROR(__xludf.DUMMYFUNCTION("""COMPUTED_VALUE"""),"Under construction - delayed")</f>
        <v>Under construction - delayed</v>
      </c>
      <c r="R7" s="6" t="str">
        <f ca="1">IFERROR(__xludf.DUMMYFUNCTION("""COMPUTED_VALUE"""),"PRT")</f>
        <v>PRT</v>
      </c>
      <c r="S7" s="9" t="str">
        <f ca="1">IFERROR(__xludf.DUMMYFUNCTION("""COMPUTED_VALUE"""),"https://gist.github.com/mayadeutchman/740ccad4bbb2d581038bd9860ac7b137")</f>
        <v>https://gist.github.com/mayadeutchman/740ccad4bbb2d581038bd9860ac7b137</v>
      </c>
      <c r="T7" s="6" t="str">
        <f ca="1">IFERROR(__xludf.DUMMYFUNCTION("""COMPUTED_VALUE"""),"BLOB")</f>
        <v>BLOB</v>
      </c>
      <c r="U7" s="6" t="str">
        <f ca="1">IFERROR(__xludf.DUMMYFUNCTION("""COMPUTED_VALUE"""),"Followed a youtube video of concept art projections on Panama Colon Container Port website: https://www.youtube.com/watch?v=ro59a5vCWkk&amp;feature=youtu.be")</f>
        <v>Followed a youtube video of concept art projections on Panama Colon Container Port website: https://www.youtube.com/watch?v=ro59a5vCWkk&amp;feature=youtu.be</v>
      </c>
      <c r="V7" s="6" t="str">
        <f ca="1">IFERROR(__xludf.DUMMYFUNCTION("""COMPUTED_VALUE"""),"Yes (Both)")</f>
        <v>Yes (Both)</v>
      </c>
      <c r="W7" s="6" t="str">
        <f ca="1">IFERROR(__xludf.DUMMYFUNCTION("""COMPUTED_VALUE"""),"Colon Province")</f>
        <v>Colon Province</v>
      </c>
      <c r="X7" s="6" t="str">
        <f ca="1">IFERROR(__xludf.DUMMYFUNCTION("""COMPUTED_VALUE"""),"2015-12-13 | 2017-10-15 | 2018-02-10 | 2019-01-04 | 2020-01-24 | 2020-04-02")</f>
        <v>2015-12-13 | 2017-10-15 | 2018-02-10 | 2019-01-04 | 2020-01-24 | 2020-04-02</v>
      </c>
      <c r="Y7" s="6" t="str">
        <f ca="1">IFERROR(__xludf.DUMMYFUNCTION("""COMPUTED_VALUE"""),"Images show progression of the building of the Colon Container Port. Construction of a 400-meter quay is progressing from east to west. 400m to the north of the quay are what looks to be buildings and construction materials related to the building of the "&amp;"port area further south.")</f>
        <v>Images show progression of the building of the Colon Container Port. Construction of a 400-meter quay is progressing from east to west. 400m to the north of the quay are what looks to be buildings and construction materials related to the building of the port area further south.</v>
      </c>
      <c r="Z7" s="6" t="str">
        <f ca="1">IFERROR(__xludf.DUMMYFUNCTION("""COMPUTED_VALUE"""),"LAT: 9.38103 LON: -79.88403")</f>
        <v>LAT: 9.38103 LON: -79.88403</v>
      </c>
      <c r="AA7" s="6"/>
      <c r="AB7" s="6"/>
      <c r="AC7" s="6"/>
      <c r="AD7" s="6"/>
      <c r="AE7" s="6"/>
      <c r="AF7" s="6"/>
      <c r="AG7" s="6"/>
    </row>
    <row r="8" spans="1:33" ht="52.8" x14ac:dyDescent="0.25">
      <c r="A8" s="6">
        <f ca="1">IFERROR(__xludf.DUMMYFUNCTION("""COMPUTED_VALUE"""),7)</f>
        <v>7</v>
      </c>
      <c r="B8" s="10">
        <f ca="1">IFERROR(__xludf.DUMMYFUNCTION("""COMPUTED_VALUE"""),2)</f>
        <v>2</v>
      </c>
      <c r="C8" s="6" t="str">
        <f ca="1">IFERROR(__xludf.DUMMYFUNCTION("""COMPUTED_VALUE"""),"Martano Gas Power Plant")</f>
        <v>Martano Gas Power Plant</v>
      </c>
      <c r="D8" s="6" t="str">
        <f ca="1">IFERROR(__xludf.DUMMYFUNCTION("""COMPUTED_VALUE"""),"Other Chinese Institution")</f>
        <v>Other Chinese Institution</v>
      </c>
      <c r="E8" s="6" t="str">
        <f ca="1">IFERROR(__xludf.DUMMYFUNCTION("""COMPUTED_VALUE"""),"Shanghai Gorgeous")</f>
        <v>Shanghai Gorgeous</v>
      </c>
      <c r="F8" s="6" t="str">
        <f ca="1">IFERROR(__xludf.DUMMYFUNCTION("""COMPUTED_VALUE"""),"Sinolam Smarter Energy LNG Power Co")</f>
        <v>Sinolam Smarter Energy LNG Power Co</v>
      </c>
      <c r="G8" s="6">
        <f ca="1">IFERROR(__xludf.DUMMYFUNCTION("""COMPUTED_VALUE"""),9)</f>
        <v>9</v>
      </c>
      <c r="H8" s="6" t="str">
        <f ca="1">IFERROR(__xludf.DUMMYFUNCTION("""COMPUTED_VALUE"""),"Energy - general")</f>
        <v>Energy - general</v>
      </c>
      <c r="I8" s="6" t="str">
        <f ca="1">IFERROR(__xludf.DUMMYFUNCTION("""COMPUTED_VALUE"""),"Contract")</f>
        <v>Contract</v>
      </c>
      <c r="J8" s="7" t="str">
        <f ca="1">IFERROR(__xludf.DUMMYFUNCTION("""COMPUTED_VALUE"""),"$900,000,000 USD")</f>
        <v>$900,000,000 USD</v>
      </c>
      <c r="K8" s="6" t="str">
        <f ca="1">IFERROR(__xludf.DUMMYFUNCTION("""COMPUTED_VALUE"""),"PAN")</f>
        <v>PAN</v>
      </c>
      <c r="L8" s="6" t="str">
        <f ca="1">IFERROR(__xludf.DUMMYFUNCTION("""COMPUTED_VALUE"""),"Panama")</f>
        <v>Panama</v>
      </c>
      <c r="M8" s="6" t="str">
        <f ca="1">IFERROR(__xludf.DUMMYFUNCTION("""COMPUTED_VALUE"""),"Village of Puerto Pilon, Province of Colon, Panama")</f>
        <v>Village of Puerto Pilon, Province of Colon, Panama</v>
      </c>
      <c r="N8" s="6" t="str">
        <f ca="1">IFERROR(__xludf.DUMMYFUNCTION("""COMPUTED_VALUE"""),"A long-term contract between Royal Dutch Shell PLC and Shanghai Gorgeous, Colon Province, allows for the production of liquified natural gas with 441 megawatt capacity and a supply of 350 MegaWatts of thermal energy between January 1, 2019 and December 31"&amp;", 2033.  This project is expected to be operational by 2020. ")</f>
        <v xml:space="preserve">A long-term contract between Royal Dutch Shell PLC and Shanghai Gorgeous, Colon Province, allows for the production of liquified natural gas with 441 megawatt capacity and a supply of 350 MegaWatts of thermal energy between January 1, 2019 and December 31, 2033.  This project is expected to be operational by 2020. </v>
      </c>
      <c r="O8" s="12">
        <f ca="1">IFERROR(__xludf.DUMMYFUNCTION("""COMPUTED_VALUE"""),42339)</f>
        <v>42339</v>
      </c>
      <c r="P8" s="6" t="str">
        <f ca="1">IFERROR(__xludf.DUMMYFUNCTION("""COMPUTED_VALUE"""),"N/A")</f>
        <v>N/A</v>
      </c>
      <c r="Q8" s="6" t="str">
        <f ca="1">IFERROR(__xludf.DUMMYFUNCTION("""COMPUTED_VALUE"""),"Under construction - unknown")</f>
        <v>Under construction - unknown</v>
      </c>
      <c r="R8" s="6" t="str">
        <f ca="1">IFERROR(__xludf.DUMMYFUNCTION("""COMPUTED_VALUE"""),"PS")</f>
        <v>PS</v>
      </c>
      <c r="S8" s="9" t="str">
        <f ca="1">IFERROR(__xludf.DUMMYFUNCTION("""COMPUTED_VALUE"""),"https://gist.github.com/Remy2020/fd5df2d2b4625d65880475cea3470899")</f>
        <v>https://gist.github.com/Remy2020/fd5df2d2b4625d65880475cea3470899</v>
      </c>
      <c r="T8" s="6" t="str">
        <f ca="1">IFERROR(__xludf.DUMMYFUNCTION("""COMPUTED_VALUE"""),"BLOB")</f>
        <v>BLOB</v>
      </c>
      <c r="U8" s="6" t="str">
        <f ca="1">IFERROR(__xludf.DUMMYFUNCTION("""COMPUTED_VALUE"""),"Used satellite imagery and followed google maps")</f>
        <v>Used satellite imagery and followed google maps</v>
      </c>
      <c r="V8" s="6" t="str">
        <f ca="1">IFERROR(__xludf.DUMMYFUNCTION("""COMPUTED_VALUE"""),"Yes (Both)")</f>
        <v>Yes (Both)</v>
      </c>
      <c r="W8" s="6" t="str">
        <f ca="1">IFERROR(__xludf.DUMMYFUNCTION("""COMPUTED_VALUE"""),"Colon Province")</f>
        <v>Colon Province</v>
      </c>
      <c r="X8" s="6" t="str">
        <f ca="1">IFERROR(__xludf.DUMMYFUNCTION("""COMPUTED_VALUE"""),"2015-12-13 | 2016-09-14 | 2018-04-07 | 2019-01-04 | 2019-12-07")</f>
        <v>2015-12-13 | 2016-09-14 | 2018-04-07 | 2019-01-04 | 2019-12-07</v>
      </c>
      <c r="Y8" s="6" t="str">
        <f ca="1">IFERROR(__xludf.DUMMYFUNCTION("""COMPUTED_VALUE"""),"Images show some progression over time")</f>
        <v>Images show some progression over time</v>
      </c>
      <c r="Z8" s="6" t="str">
        <f ca="1">IFERROR(__xludf.DUMMYFUNCTION("""COMPUTED_VALUE"""),"LAT: 9.39131 LON: -79.82117")</f>
        <v>LAT: 9.39131 LON: -79.82117</v>
      </c>
      <c r="AA8" s="6"/>
      <c r="AB8" s="6"/>
      <c r="AC8" s="6"/>
      <c r="AD8" s="6"/>
      <c r="AE8" s="6"/>
      <c r="AF8" s="6"/>
      <c r="AG8" s="6"/>
    </row>
    <row r="9" spans="1:33" ht="52.8" x14ac:dyDescent="0.25">
      <c r="A9" s="6">
        <f ca="1">IFERROR(__xludf.DUMMYFUNCTION("""COMPUTED_VALUE"""),8)</f>
        <v>8</v>
      </c>
      <c r="B9" s="10">
        <f ca="1">IFERROR(__xludf.DUMMYFUNCTION("""COMPUTED_VALUE"""),3)</f>
        <v>3</v>
      </c>
      <c r="C9" s="6" t="str">
        <f ca="1">IFERROR(__xludf.DUMMYFUNCTION("""COMPUTED_VALUE"""),"DAO Panama")</f>
        <v>DAO Panama</v>
      </c>
      <c r="D9" s="6" t="str">
        <f ca="1">IFERROR(__xludf.DUMMYFUNCTION("""COMPUTED_VALUE"""),"Other Institution")</f>
        <v>Other Institution</v>
      </c>
      <c r="E9" s="6" t="str">
        <f ca="1">IFERROR(__xludf.DUMMYFUNCTION("""COMPUTED_VALUE"""),"Govt of Panama")</f>
        <v>Govt of Panama</v>
      </c>
      <c r="F9" s="6" t="str">
        <f ca="1">IFERROR(__xludf.DUMMYFUNCTION("""COMPUTED_VALUE"""),"China Construction America")</f>
        <v>China Construction America</v>
      </c>
      <c r="G9" s="6">
        <f ca="1">IFERROR(__xludf.DUMMYFUNCTION("""COMPUTED_VALUE"""),1.3)</f>
        <v>1.3</v>
      </c>
      <c r="H9" s="6" t="str">
        <f ca="1">IFERROR(__xludf.DUMMYFUNCTION("""COMPUTED_VALUE"""),"Commercial, Residential")</f>
        <v>Commercial, Residential</v>
      </c>
      <c r="I9" s="6" t="str">
        <f ca="1">IFERROR(__xludf.DUMMYFUNCTION("""COMPUTED_VALUE"""),"Contract")</f>
        <v>Contract</v>
      </c>
      <c r="J9" s="7" t="str">
        <f ca="1">IFERROR(__xludf.DUMMYFUNCTION("""COMPUTED_VALUE"""),"$75,000,000 USD")</f>
        <v>$75,000,000 USD</v>
      </c>
      <c r="K9" s="6" t="str">
        <f ca="1">IFERROR(__xludf.DUMMYFUNCTION("""COMPUTED_VALUE"""),"PAN")</f>
        <v>PAN</v>
      </c>
      <c r="L9" s="6" t="str">
        <f ca="1">IFERROR(__xludf.DUMMYFUNCTION("""COMPUTED_VALUE"""),"Panama")</f>
        <v>Panama</v>
      </c>
      <c r="M9" s="6" t="str">
        <f ca="1">IFERROR(__xludf.DUMMYFUNCTION("""COMPUTED_VALUE"""),"Corner of Calle 54 Este and Avenida 4 /Calle 50, Obarrio, Panama City, Panama")</f>
        <v>Corner of Calle 54 Este and Avenida 4 /Calle 50, Obarrio, Panama City, Panama</v>
      </c>
      <c r="N9" s="6" t="str">
        <f ca="1">IFERROR(__xludf.DUMMYFUNCTION("""COMPUTED_VALUE"""),"DAO Panama Development awarded the construction contract to China Construction for a $75 million, 62 story building which includes parking, commercial, offices, social area, and apartments. This project is located on a 3200 square meter lot with a total c"&amp;"onstruction area of about 92,782.6 square meters.")</f>
        <v>DAO Panama Development awarded the construction contract to China Construction for a $75 million, 62 story building which includes parking, commercial, offices, social area, and apartments. This project is located on a 3200 square meter lot with a total construction area of about 92,782.6 square meters.</v>
      </c>
      <c r="O9" s="12">
        <f ca="1">IFERROR(__xludf.DUMMYFUNCTION("""COMPUTED_VALUE"""),43643)</f>
        <v>43643</v>
      </c>
      <c r="P9" s="6" t="str">
        <f ca="1">IFERROR(__xludf.DUMMYFUNCTION("""COMPUTED_VALUE"""),"N/A")</f>
        <v>N/A</v>
      </c>
      <c r="Q9" s="6" t="str">
        <f ca="1">IFERROR(__xludf.DUMMYFUNCTION("""COMPUTED_VALUE"""),"Proposed - formal")</f>
        <v>Proposed - formal</v>
      </c>
      <c r="R9" s="6" t="str">
        <f ca="1">IFERROR(__xludf.DUMMYFUNCTION("""COMPUTED_VALUE"""),"BLDG")</f>
        <v>BLDG</v>
      </c>
      <c r="S9" s="9" t="str">
        <f ca="1">IFERROR(__xludf.DUMMYFUNCTION("""COMPUTED_VALUE"""),"https://gist.github.com/micrittenden/c774730c466adf0d075d40ce62cf8212")</f>
        <v>https://gist.github.com/micrittenden/c774730c466adf0d075d40ce62cf8212</v>
      </c>
      <c r="T9" s="6" t="str">
        <f ca="1">IFERROR(__xludf.DUMMYFUNCTION("""COMPUTED_VALUE"""),"BLOB")</f>
        <v>BLOB</v>
      </c>
      <c r="U9" s="6" t="str">
        <f ca="1">IFERROR(__xludf.DUMMYFUNCTION("""COMPUTED_VALUE"""),"I used a map on the DAO Panama website: https://daopanama.com/neighborhood/#18.48/8.98165/-79.51956 in addition to google maps in order to outline this location")</f>
        <v>I used a map on the DAO Panama website: https://daopanama.com/neighborhood/#18.48/8.98165/-79.51956 in addition to google maps in order to outline this location</v>
      </c>
      <c r="V9" s="6" t="str">
        <f ca="1">IFERROR(__xludf.DUMMYFUNCTION("""COMPUTED_VALUE"""),"Yes (Both)")</f>
        <v>Yes (Both)</v>
      </c>
      <c r="W9" s="6" t="str">
        <f ca="1">IFERROR(__xludf.DUMMYFUNCTION("""COMPUTED_VALUE"""),"Provincia de Panama")</f>
        <v>Provincia de Panama</v>
      </c>
      <c r="X9" s="6"/>
      <c r="Y9" s="6"/>
      <c r="Z9" s="6" t="str">
        <f ca="1">IFERROR(__xludf.DUMMYFUNCTION("""COMPUTED_VALUE"""),"LAT: 8.98202  LON: -79.52")</f>
        <v>LAT: 8.98202  LON: -79.52</v>
      </c>
      <c r="AA9" s="6"/>
      <c r="AB9" s="6"/>
      <c r="AC9" s="6"/>
      <c r="AD9" s="6"/>
      <c r="AE9" s="6"/>
      <c r="AF9" s="6"/>
      <c r="AG9" s="6"/>
    </row>
    <row r="10" spans="1:33" ht="211.2" x14ac:dyDescent="0.25">
      <c r="A10" s="6">
        <f ca="1">IFERROR(__xludf.DUMMYFUNCTION("""COMPUTED_VALUE"""),9)</f>
        <v>9</v>
      </c>
      <c r="B10" s="10">
        <f ca="1">IFERROR(__xludf.DUMMYFUNCTION("""COMPUTED_VALUE"""),2)</f>
        <v>2</v>
      </c>
      <c r="C10" s="6" t="str">
        <f ca="1">IFERROR(__xludf.DUMMYFUNCTION("""COMPUTED_VALUE"""),"City of Hope")</f>
        <v>City of Hope</v>
      </c>
      <c r="D10" s="6" t="str">
        <f ca="1">IFERROR(__xludf.DUMMYFUNCTION("""COMPUTED_VALUE"""),"Other Institution")</f>
        <v>Other Institution</v>
      </c>
      <c r="E10" s="6" t="str">
        <f ca="1">IFERROR(__xludf.DUMMYFUNCTION("""COMPUTED_VALUE"""),"Govt of Panama")</f>
        <v>Govt of Panama</v>
      </c>
      <c r="F10" s="6" t="str">
        <f ca="1">IFERROR(__xludf.DUMMYFUNCTION("""COMPUTED_VALUE"""),"China Construction America")</f>
        <v>China Construction America</v>
      </c>
      <c r="G10" s="6">
        <f ca="1">IFERROR(__xludf.DUMMYFUNCTION("""COMPUTED_VALUE"""),1.3)</f>
        <v>1.3</v>
      </c>
      <c r="H10" s="6" t="str">
        <f ca="1">IFERROR(__xludf.DUMMYFUNCTION("""COMPUTED_VALUE"""),"Commercial, Recreational, Residential")</f>
        <v>Commercial, Recreational, Residential</v>
      </c>
      <c r="I10" s="6" t="str">
        <f ca="1">IFERROR(__xludf.DUMMYFUNCTION("""COMPUTED_VALUE"""),"Contract")</f>
        <v>Contract</v>
      </c>
      <c r="J10" s="7" t="str">
        <f ca="1">IFERROR(__xludf.DUMMYFUNCTION("""COMPUTED_VALUE"""),"$137,000,000 USD")</f>
        <v>$137,000,000 USD</v>
      </c>
      <c r="K10" s="6" t="str">
        <f ca="1">IFERROR(__xludf.DUMMYFUNCTION("""COMPUTED_VALUE"""),"PAN")</f>
        <v>PAN</v>
      </c>
      <c r="L10" s="6" t="str">
        <f ca="1">IFERROR(__xludf.DUMMYFUNCTION("""COMPUTED_VALUE"""),"Panama")</f>
        <v>Panama</v>
      </c>
      <c r="M10" s="6" t="str">
        <f ca="1">IFERROR(__xludf.DUMMYFUNCTION("""COMPUTED_VALUE"""),"Arraijin, West Panama province, Panama")</f>
        <v>Arraijin, West Panama province, Panama</v>
      </c>
      <c r="N10" s="6" t="str">
        <f ca="1">IFERROR(__xludf.DUMMYFUNCTION("""COMPUTED_VALUE"""),"China Construction America built an 89 acre town, including 2250 homes, parks, sports venues, office spaces, sports parks, and commercial districts, as well as a campus for the University of Panama in the Arrajin region of West Panama Province.")</f>
        <v>China Construction America built an 89 acre town, including 2250 homes, parks, sports venues, office spaces, sports parks, and commercial districts, as well as a campus for the University of Panama in the Arrajin region of West Panama Province.</v>
      </c>
      <c r="O10" s="6" t="str">
        <f ca="1">IFERROR(__xludf.DUMMYFUNCTION("""COMPUTED_VALUE"""),"N/A")</f>
        <v>N/A</v>
      </c>
      <c r="P10" s="6" t="str">
        <f ca="1">IFERROR(__xludf.DUMMYFUNCTION("""COMPUTED_VALUE"""),"00/00/2018")</f>
        <v>00/00/2018</v>
      </c>
      <c r="Q10" s="6" t="str">
        <f ca="1">IFERROR(__xludf.DUMMYFUNCTION("""COMPUTED_VALUE"""),"Completed")</f>
        <v>Completed</v>
      </c>
      <c r="R10" s="6" t="str">
        <f ca="1">IFERROR(__xludf.DUMMYFUNCTION("""COMPUTED_VALUE"""),"PPL")</f>
        <v>PPL</v>
      </c>
      <c r="S10" s="9" t="str">
        <f ca="1">IFERROR(__xludf.DUMMYFUNCTION("""COMPUTED_VALUE"""),"https://gist.github.com/micrittenden/f37520d486384aa04221fad2278ba0a2")</f>
        <v>https://gist.github.com/micrittenden/f37520d486384aa04221fad2278ba0a2</v>
      </c>
      <c r="T10" s="6" t="str">
        <f ca="1">IFERROR(__xludf.DUMMYFUNCTION("""COMPUTED_VALUE"""),"BLOB")</f>
        <v>BLOB</v>
      </c>
      <c r="U10" s="6" t="str">
        <f ca="1">IFERROR(__xludf.DUMMYFUNCTION("""COMPUTED_VALUE"""),"First, went to this website and found a proximate location: http://www.chinaconstruction.us/project/city-of-hope/. In Google Earth Pro, used the historical imagery tool to examine anywhere within a several mile radius which experienced great physical chan"&amp;"ge in the years prior to 2018. Found an area which saw most construction completed in 2018 and aligned key features including (1) the outline of a crude baseball field, (2) the curvature of the eastern tree line, and (3) a couple buildings west of the bas"&amp;"eball field. The image on the website doesn't show the actual development site, but rather a site which just north of the area and which already existed.")</f>
        <v>First, went to this website and found a proximate location: http://www.chinaconstruction.us/project/city-of-hope/. In Google Earth Pro, used the historical imagery tool to examine anywhere within a several mile radius which experienced great physical change in the years prior to 2018. Found an area which saw most construction completed in 2018 and aligned key features including (1) the outline of a crude baseball field, (2) the curvature of the eastern tree line, and (3) a couple buildings west of the baseball field. The image on the website doesn't show the actual development site, but rather a site which just north of the area and which already existed.</v>
      </c>
      <c r="V10" s="6" t="str">
        <f ca="1">IFERROR(__xludf.DUMMYFUNCTION("""COMPUTED_VALUE"""),"Yes (Both)")</f>
        <v>Yes (Both)</v>
      </c>
      <c r="W10" s="6" t="str">
        <f ca="1">IFERROR(__xludf.DUMMYFUNCTION("""COMPUTED_VALUE"""),"Provincia de Panama Oeste")</f>
        <v>Provincia de Panama Oeste</v>
      </c>
      <c r="X10" s="6" t="str">
        <f ca="1">IFERROR(__xludf.DUMMYFUNCTION("""COMPUTED_VALUE"""),"2017-09-27 | 2018-09-03 | 2019-01-31")</f>
        <v>2017-09-27 | 2018-09-03 | 2019-01-31</v>
      </c>
      <c r="Y10" s="6" t="str">
        <f ca="1">IFERROR(__xludf.DUMMYFUNCTION("""COMPUTED_VALUE"""),"Images show some progression overtime")</f>
        <v>Images show some progression overtime</v>
      </c>
      <c r="Z10" s="6" t="str">
        <f ca="1">IFERROR(__xludf.DUMMYFUNCTION("""COMPUTED_VALUE"""),"LAT: 8°54'17.8""N | LON:-79°42'14.6""W")</f>
        <v>LAT: 8°54'17.8"N | LON:-79°42'14.6"W</v>
      </c>
      <c r="AA10" s="6"/>
      <c r="AB10" s="6"/>
      <c r="AC10" s="6"/>
      <c r="AD10" s="6"/>
      <c r="AE10" s="6"/>
      <c r="AF10" s="6"/>
      <c r="AG10" s="6"/>
    </row>
    <row r="11" spans="1:33" ht="39.6" x14ac:dyDescent="0.25">
      <c r="A11" s="6">
        <f ca="1">IFERROR(__xludf.DUMMYFUNCTION("""COMPUTED_VALUE"""),10)</f>
        <v>10</v>
      </c>
      <c r="B11" s="10">
        <f ca="1">IFERROR(__xludf.DUMMYFUNCTION("""COMPUTED_VALUE"""),2)</f>
        <v>2</v>
      </c>
      <c r="C11" s="6" t="str">
        <f ca="1">IFERROR(__xludf.DUMMYFUNCTION("""COMPUTED_VALUE"""),"San Isidro Bus Station")</f>
        <v>San Isidro Bus Station</v>
      </c>
      <c r="D11" s="6" t="str">
        <f ca="1">IFERROR(__xludf.DUMMYFUNCTION("""COMPUTED_VALUE"""),"Other Institution")</f>
        <v>Other Institution</v>
      </c>
      <c r="E11" s="6" t="str">
        <f ca="1">IFERROR(__xludf.DUMMYFUNCTION("""COMPUTED_VALUE"""),"Govt of Panama")</f>
        <v>Govt of Panama</v>
      </c>
      <c r="F11" s="6" t="str">
        <f ca="1">IFERROR(__xludf.DUMMYFUNCTION("""COMPUTED_VALUE"""),"China Construction America")</f>
        <v>China Construction America</v>
      </c>
      <c r="G11" s="6">
        <f ca="1">IFERROR(__xludf.DUMMYFUNCTION("""COMPUTED_VALUE"""),1.3)</f>
        <v>1.3</v>
      </c>
      <c r="H11" s="6" t="str">
        <f ca="1">IFERROR(__xludf.DUMMYFUNCTION("""COMPUTED_VALUE"""),"Transportation - general")</f>
        <v>Transportation - general</v>
      </c>
      <c r="I11" s="6" t="str">
        <f ca="1">IFERROR(__xludf.DUMMYFUNCTION("""COMPUTED_VALUE"""),"Contract")</f>
        <v>Contract</v>
      </c>
      <c r="J11" s="7" t="str">
        <f ca="1">IFERROR(__xludf.DUMMYFUNCTION("""COMPUTED_VALUE"""),"$30,000,000 USD")</f>
        <v>$30,000,000 USD</v>
      </c>
      <c r="K11" s="6" t="str">
        <f ca="1">IFERROR(__xludf.DUMMYFUNCTION("""COMPUTED_VALUE"""),"PAN")</f>
        <v>PAN</v>
      </c>
      <c r="L11" s="6" t="str">
        <f ca="1">IFERROR(__xludf.DUMMYFUNCTION("""COMPUTED_VALUE"""),"Panama")</f>
        <v>Panama</v>
      </c>
      <c r="M11" s="6" t="str">
        <f ca="1">IFERROR(__xludf.DUMMYFUNCTION("""COMPUTED_VALUE"""),"San Isidro, San Miguelito, Panama")</f>
        <v>San Isidro, San Miguelito, Panama</v>
      </c>
      <c r="N11" s="6" t="str">
        <f ca="1">IFERROR(__xludf.DUMMYFUNCTION("""COMPUTED_VALUE"""),"China Construction America's first infrastructure project in Panama consists of the study, design, construction, and commissioning of a bus station in San Miguelito, Panama.  The project includes road adjustment and the ""improvement of public spaces"" wi"&amp;"th a 540 day construction period.  ")</f>
        <v xml:space="preserve">China Construction America's first infrastructure project in Panama consists of the study, design, construction, and commissioning of a bus station in San Miguelito, Panama.  The project includes road adjustment and the "improvement of public spaces" with a 540 day construction period.  </v>
      </c>
      <c r="O11" s="6" t="str">
        <f ca="1">IFERROR(__xludf.DUMMYFUNCTION("""COMPUTED_VALUE"""),"N/A")</f>
        <v>N/A</v>
      </c>
      <c r="P11" s="6" t="str">
        <f ca="1">IFERROR(__xludf.DUMMYFUNCTION("""COMPUTED_VALUE"""),"00/00/2017")</f>
        <v>00/00/2017</v>
      </c>
      <c r="Q11" s="6" t="str">
        <f ca="1">IFERROR(__xludf.DUMMYFUNCTION("""COMPUTED_VALUE"""),"Completed")</f>
        <v>Completed</v>
      </c>
      <c r="R11" s="6" t="str">
        <f ca="1">IFERROR(__xludf.DUMMYFUNCTION("""COMPUTED_VALUE"""),"BUS")</f>
        <v>BUS</v>
      </c>
      <c r="S11" s="9" t="str">
        <f ca="1">IFERROR(__xludf.DUMMYFUNCTION("""COMPUTED_VALUE"""),"https://gist.github.com/Remy2020/3bc41ed46f116b8702b64faeba14cf4b")</f>
        <v>https://gist.github.com/Remy2020/3bc41ed46f116b8702b64faeba14cf4b</v>
      </c>
      <c r="T11" s="6" t="str">
        <f ca="1">IFERROR(__xludf.DUMMYFUNCTION("""COMPUTED_VALUE"""),"BLOB")</f>
        <v>BLOB</v>
      </c>
      <c r="U11" s="6" t="str">
        <f ca="1">IFERROR(__xludf.DUMMYFUNCTION("""COMPUTED_VALUE"""),"Looked at satellite imagery and followed google maps")</f>
        <v>Looked at satellite imagery and followed google maps</v>
      </c>
      <c r="V11" s="6" t="str">
        <f ca="1">IFERROR(__xludf.DUMMYFUNCTION("""COMPUTED_VALUE"""),"Yes (Both)")</f>
        <v>Yes (Both)</v>
      </c>
      <c r="W11" s="6" t="str">
        <f ca="1">IFERROR(__xludf.DUMMYFUNCTION("""COMPUTED_VALUE"""),"Provincia de Panama")</f>
        <v>Provincia de Panama</v>
      </c>
      <c r="X11" s="6" t="str">
        <f ca="1">IFERROR(__xludf.DUMMYFUNCTION("""COMPUTED_VALUE"""),"2018-03-04|2019-03-29|2020-06-07")</f>
        <v>2018-03-04|2019-03-29|2020-06-07</v>
      </c>
      <c r="Y11" s="6" t="str">
        <f ca="1">IFERROR(__xludf.DUMMYFUNCTION("""COMPUTED_VALUE"""),"Images show no progression over time")</f>
        <v>Images show no progression over time</v>
      </c>
      <c r="Z11" s="6" t="str">
        <f ca="1">IFERROR(__xludf.DUMMYFUNCTION("""COMPUTED_VALUE"""),"LAT: 9.064941, LON: -79.514138")</f>
        <v>LAT: 9.064941, LON: -79.514138</v>
      </c>
      <c r="AA11" s="6"/>
      <c r="AB11" s="6"/>
      <c r="AC11" s="6"/>
      <c r="AD11" s="6"/>
      <c r="AE11" s="6"/>
      <c r="AF11" s="6"/>
      <c r="AG11" s="6"/>
    </row>
    <row r="12" spans="1:33" ht="92.4" x14ac:dyDescent="0.25">
      <c r="A12" s="6">
        <f ca="1">IFERROR(__xludf.DUMMYFUNCTION("""COMPUTED_VALUE"""),11)</f>
        <v>11</v>
      </c>
      <c r="B12" s="10">
        <f ca="1">IFERROR(__xludf.DUMMYFUNCTION("""COMPUTED_VALUE"""),4)</f>
        <v>4</v>
      </c>
      <c r="C12" s="6" t="str">
        <f ca="1">IFERROR(__xludf.DUMMYFUNCTION("""COMPUTED_VALUE"""),"Panama Monorail project")</f>
        <v>Panama Monorail project</v>
      </c>
      <c r="D12" s="6" t="str">
        <f ca="1">IFERROR(__xludf.DUMMYFUNCTION("""COMPUTED_VALUE"""),"Other Institution")</f>
        <v>Other Institution</v>
      </c>
      <c r="E12" s="6" t="str">
        <f ca="1">IFERROR(__xludf.DUMMYFUNCTION("""COMPUTED_VALUE"""),"Govt of Panama")</f>
        <v>Govt of Panama</v>
      </c>
      <c r="F12" s="6" t="str">
        <f ca="1">IFERROR(__xludf.DUMMYFUNCTION("""COMPUTED_VALUE"""),"China Railway Group, 
China Harbour Engineering, 
Beijing Urban Construction Group, 
Power Construction Corporation of China")</f>
        <v>China Railway Group, 
China Harbour Engineering, 
Beijing Urban Construction Group, 
Power Construction Corporation of China</v>
      </c>
      <c r="G12" s="6">
        <f ca="1">IFERROR(__xludf.DUMMYFUNCTION("""COMPUTED_VALUE"""),1.3)</f>
        <v>1.3</v>
      </c>
      <c r="H12" s="6" t="str">
        <f ca="1">IFERROR(__xludf.DUMMYFUNCTION("""COMPUTED_VALUE"""),"Rail")</f>
        <v>Rail</v>
      </c>
      <c r="I12" s="6" t="str">
        <f ca="1">IFERROR(__xludf.DUMMYFUNCTION("""COMPUTED_VALUE"""),"Contract")</f>
        <v>Contract</v>
      </c>
      <c r="J12" s="7" t="str">
        <f ca="1">IFERROR(__xludf.DUMMYFUNCTION("""COMPUTED_VALUE"""),"$2,600,000,000 USD")</f>
        <v>$2,600,000,000 USD</v>
      </c>
      <c r="K12" s="6" t="str">
        <f ca="1">IFERROR(__xludf.DUMMYFUNCTION("""COMPUTED_VALUE"""),"PAN")</f>
        <v>PAN</v>
      </c>
      <c r="L12" s="6" t="str">
        <f ca="1">IFERROR(__xludf.DUMMYFUNCTION("""COMPUTED_VALUE"""),"Panama")</f>
        <v>Panama</v>
      </c>
      <c r="M12" s="6" t="str">
        <f ca="1">IFERROR(__xludf.DUMMYFUNCTION("""COMPUTED_VALUE"""),"Panama City, Panama")</f>
        <v>Panama City, Panama</v>
      </c>
      <c r="N12" s="6" t="str">
        <f ca="1">IFERROR(__xludf.DUMMYFUNCTION("""COMPUTED_VALUE"""),"Panama gave seven firms parts of their urban monorail project, four of which are major Chinese construction companies. On 11/18/19, the contract was officially awarded to the HPH Consortium, led by South Korean Hyundai Engineering &amp; Construction.")</f>
        <v>Panama gave seven firms parts of their urban monorail project, four of which are major Chinese construction companies. On 11/18/19, the contract was officially awarded to the HPH Consortium, led by South Korean Hyundai Engineering &amp; Construction.</v>
      </c>
      <c r="O12" s="6" t="str">
        <f ca="1">IFERROR(__xludf.DUMMYFUNCTION("""COMPUTED_VALUE"""),"N/A")</f>
        <v>N/A</v>
      </c>
      <c r="P12" s="6" t="str">
        <f ca="1">IFERROR(__xludf.DUMMYFUNCTION("""COMPUTED_VALUE"""),"00/00/2022")</f>
        <v>00/00/2022</v>
      </c>
      <c r="Q12" s="6" t="str">
        <f ca="1">IFERROR(__xludf.DUMMYFUNCTION("""COMPUTED_VALUE"""),"Proposed - unsuccessful bid")</f>
        <v>Proposed - unsuccessful bid</v>
      </c>
      <c r="R12" s="6" t="str">
        <f ca="1">IFERROR(__xludf.DUMMYFUNCTION("""COMPUTED_VALUE"""),"PPLC")</f>
        <v>PPLC</v>
      </c>
      <c r="S12" s="6" t="str">
        <f ca="1">IFERROR(__xludf.DUMMYFUNCTION("""COMPUTED_VALUE"""),"PAN_ADM0_2_0_0_0")</f>
        <v>PAN_ADM0_2_0_0_0</v>
      </c>
      <c r="T12" s="6" t="str">
        <f ca="1">IFERROR(__xludf.DUMMYFUNCTION("""COMPUTED_VALUE"""),"PCLI")</f>
        <v>PCLI</v>
      </c>
      <c r="U12" s="6" t="str">
        <f ca="1">IFERROR(__xludf.DUMMYFUNCTION("""COMPUTED_VALUE"""),"This activity takes place within Panama but cannot be geocoded as it occured in various locations across the country")</f>
        <v>This activity takes place within Panama but cannot be geocoded as it occured in various locations across the country</v>
      </c>
      <c r="V12" s="6" t="str">
        <f ca="1">IFERROR(__xludf.DUMMYFUNCTION("""COMPUTED_VALUE"""),"No")</f>
        <v>No</v>
      </c>
      <c r="W12" s="6" t="str">
        <f ca="1">IFERROR(__xludf.DUMMYFUNCTION("""COMPUTED_VALUE"""),"NA")</f>
        <v>NA</v>
      </c>
      <c r="X12" s="6"/>
      <c r="Y12" s="6"/>
      <c r="Z12" s="6"/>
      <c r="AA12" s="6"/>
      <c r="AB12" s="6"/>
      <c r="AC12" s="6"/>
      <c r="AD12" s="6"/>
      <c r="AE12" s="6"/>
      <c r="AF12" s="6"/>
      <c r="AG12" s="6"/>
    </row>
    <row r="13" spans="1:33" ht="79.2" x14ac:dyDescent="0.25">
      <c r="A13" s="6">
        <f ca="1">IFERROR(__xludf.DUMMYFUNCTION("""COMPUTED_VALUE"""),12)</f>
        <v>12</v>
      </c>
      <c r="B13" s="10">
        <f ca="1">IFERROR(__xludf.DUMMYFUNCTION("""COMPUTED_VALUE"""),3)</f>
        <v>3</v>
      </c>
      <c r="C13" s="6" t="str">
        <f ca="1">IFERROR(__xludf.DUMMYFUNCTION("""COMPUTED_VALUE"""),"Tank Weld - SHACMAN Truck Contract")</f>
        <v>Tank Weld - SHACMAN Truck Contract</v>
      </c>
      <c r="D13" s="6" t="str">
        <f ca="1">IFERROR(__xludf.DUMMYFUNCTION("""COMPUTED_VALUE"""),"Other Institution")</f>
        <v>Other Institution</v>
      </c>
      <c r="E13" s="6" t="str">
        <f ca="1">IFERROR(__xludf.DUMMYFUNCTION("""COMPUTED_VALUE"""),"JN Bank ")</f>
        <v xml:space="preserve">JN Bank </v>
      </c>
      <c r="F13" s="6" t="str">
        <f ca="1">IFERROR(__xludf.DUMMYFUNCTION("""COMPUTED_VALUE"""),"SHACMAN")</f>
        <v>SHACMAN</v>
      </c>
      <c r="G13" s="6">
        <f ca="1">IFERROR(__xludf.DUMMYFUNCTION("""COMPUTED_VALUE"""),11)</f>
        <v>11</v>
      </c>
      <c r="H13" s="6" t="str">
        <f ca="1">IFERROR(__xludf.DUMMYFUNCTION("""COMPUTED_VALUE"""),"Transportation - general")</f>
        <v>Transportation - general</v>
      </c>
      <c r="I13" s="6" t="str">
        <f ca="1">IFERROR(__xludf.DUMMYFUNCTION("""COMPUTED_VALUE"""),"Contract")</f>
        <v>Contract</v>
      </c>
      <c r="J13" s="6" t="str">
        <f ca="1">IFERROR(__xludf.DUMMYFUNCTION("""COMPUTED_VALUE"""),"N/A")</f>
        <v>N/A</v>
      </c>
      <c r="K13" s="6" t="str">
        <f ca="1">IFERROR(__xludf.DUMMYFUNCTION("""COMPUTED_VALUE"""),"JAM")</f>
        <v>JAM</v>
      </c>
      <c r="L13" s="6" t="str">
        <f ca="1">IFERROR(__xludf.DUMMYFUNCTION("""COMPUTED_VALUE"""),"Jamaica")</f>
        <v>Jamaica</v>
      </c>
      <c r="M13" s="6" t="str">
        <f ca="1">IFERROR(__xludf.DUMMYFUNCTION("""COMPUTED_VALUE"""),"Operating out of a Tank-Weld regional maintenance facility in Ferry, St. Catherine, Jamaica")</f>
        <v>Operating out of a Tank-Weld regional maintenance facility in Ferry, St. Catherine, Jamaica</v>
      </c>
      <c r="N13" s="6" t="str">
        <f ca="1">IFERROR(__xludf.DUMMYFUNCTION("""COMPUTED_VALUE"""),"Chinese heavy-duty truck producer, SHACMAN, began providing trucks to the largest privately owned truck supplier in Jamaica, Tank Weld. Backed by Jamaican bank JN bank, SHACMAN supplied many of Jamaica's contractors with trucks. A year later, three other "&amp;"Chinese truck providers, T-King, Hangcha, and Shantui, have also began providing Tank Weld different types of trucks.
SHACMAN Jamaica will operate out of Tank-Weld's regional maintenance facility at Ferry in St. Catherine, Jamaica.")</f>
        <v>Chinese heavy-duty truck producer, SHACMAN, began providing trucks to the largest privately owned truck supplier in Jamaica, Tank Weld. Backed by Jamaican bank JN bank, SHACMAN supplied many of Jamaica's contractors with trucks. A year later, three other Chinese truck providers, T-King, Hangcha, and Shantui, have also began providing Tank Weld different types of trucks.
SHACMAN Jamaica will operate out of Tank-Weld's regional maintenance facility at Ferry in St. Catherine, Jamaica.</v>
      </c>
      <c r="O13" s="8">
        <f ca="1">IFERROR(__xludf.DUMMYFUNCTION("""COMPUTED_VALUE"""),43101)</f>
        <v>43101</v>
      </c>
      <c r="P13" s="6" t="str">
        <f ca="1">IFERROR(__xludf.DUMMYFUNCTION("""COMPUTED_VALUE"""),"N/A")</f>
        <v>N/A</v>
      </c>
      <c r="Q13" s="6" t="str">
        <f ca="1">IFERROR(__xludf.DUMMYFUNCTION("""COMPUTED_VALUE"""),"Completed")</f>
        <v>Completed</v>
      </c>
      <c r="R13" s="6" t="str">
        <f ca="1">IFERROR(__xludf.DUMMYFUNCTION("""COMPUTED_VALUE"""),"PCLI")</f>
        <v>PCLI</v>
      </c>
      <c r="S13" s="9" t="str">
        <f ca="1">IFERROR(__xludf.DUMMYFUNCTION("""COMPUTED_VALUE"""),"https://gist.github.com/Remy2020/bd73cbe1ffb7d4511c7ae6e82c74ba01")</f>
        <v>https://gist.github.com/Remy2020/bd73cbe1ffb7d4511c7ae6e82c74ba01</v>
      </c>
      <c r="T13" s="6" t="str">
        <f ca="1">IFERROR(__xludf.DUMMYFUNCTION("""COMPUTED_VALUE"""),"BLOB")</f>
        <v>BLOB</v>
      </c>
      <c r="U13" s="6" t="str">
        <f ca="1">IFERROR(__xludf.DUMMYFUNCTION("""COMPUTED_VALUE"""),"Looked at location on SHACMAN website, satellite imagery and followed using google maps. New suspected location is Lot 2 Cumberland Pen, 6 Mile, Kingston, Jamaica. Neither old or new locations are in St. Catherine. ")</f>
        <v xml:space="preserve">Looked at location on SHACMAN website, satellite imagery and followed using google maps. New suspected location is Lot 2 Cumberland Pen, 6 Mile, Kingston, Jamaica. Neither old or new locations are in St. Catherine. </v>
      </c>
      <c r="V13" s="6" t="str">
        <f ca="1">IFERROR(__xludf.DUMMYFUNCTION("""COMPUTED_VALUE"""),"Yes (Both)")</f>
        <v>Yes (Both)</v>
      </c>
      <c r="W13" s="6" t="str">
        <f ca="1">IFERROR(__xludf.DUMMYFUNCTION("""COMPUTED_VALUE"""),"Kingston")</f>
        <v>Kingston</v>
      </c>
      <c r="X13" s="6" t="str">
        <f ca="1">IFERROR(__xludf.DUMMYFUNCTION("""COMPUTED_VALUE"""),"2018-10-28 | 2019-11-04 | 2020-06-07")</f>
        <v>2018-10-28 | 2019-11-04 | 2020-06-07</v>
      </c>
      <c r="Y13" s="6" t="str">
        <f ca="1">IFERROR(__xludf.DUMMYFUNCTION("""COMPUTED_VALUE"""),"Images show some progression over time. Including clearing land and rasing buildings")</f>
        <v>Images show some progression over time. Including clearing land and rasing buildings</v>
      </c>
      <c r="Z13" s="6" t="str">
        <f ca="1">IFERROR(__xludf.DUMMYFUNCTION("""COMPUTED_VALUE"""),"LAT: 18.029332, LON: -76.861124")</f>
        <v>LAT: 18.029332, LON: -76.861124</v>
      </c>
      <c r="AA13" s="6"/>
      <c r="AB13" s="6"/>
      <c r="AC13" s="6"/>
      <c r="AD13" s="6"/>
      <c r="AE13" s="6"/>
      <c r="AF13" s="6"/>
      <c r="AG13" s="6"/>
    </row>
    <row r="14" spans="1:33" ht="52.8" x14ac:dyDescent="0.25">
      <c r="A14" s="6">
        <f ca="1">IFERROR(__xludf.DUMMYFUNCTION("""COMPUTED_VALUE"""),13)</f>
        <v>13</v>
      </c>
      <c r="B14" s="10">
        <f ca="1">IFERROR(__xludf.DUMMYFUNCTION("""COMPUTED_VALUE"""),3)</f>
        <v>3</v>
      </c>
      <c r="C14" s="6" t="str">
        <f ca="1">IFERROR(__xludf.DUMMYFUNCTION("""COMPUTED_VALUE"""),"Alumina Partners of Jamaica (Alpart) plant re-opening and rehabilitation")</f>
        <v>Alumina Partners of Jamaica (Alpart) plant re-opening and rehabilitation</v>
      </c>
      <c r="D14" s="6" t="str">
        <f ca="1">IFERROR(__xludf.DUMMYFUNCTION("""COMPUTED_VALUE"""),"Other Chinese Institution")</f>
        <v>Other Chinese Institution</v>
      </c>
      <c r="E14" s="6" t="str">
        <f ca="1">IFERROR(__xludf.DUMMYFUNCTION("""COMPUTED_VALUE"""),"Jiuquan Iron and Steel Company (JISCO)")</f>
        <v>Jiuquan Iron and Steel Company (JISCO)</v>
      </c>
      <c r="F14" s="6" t="str">
        <f ca="1">IFERROR(__xludf.DUMMYFUNCTION("""COMPUTED_VALUE"""),"Jiuquan Iron and Steel Company (JISCO)")</f>
        <v>Jiuquan Iron and Steel Company (JISCO)</v>
      </c>
      <c r="G14" s="6">
        <f ca="1">IFERROR(__xludf.DUMMYFUNCTION("""COMPUTED_VALUE"""),4)</f>
        <v>4</v>
      </c>
      <c r="H14" s="6" t="str">
        <f ca="1">IFERROR(__xludf.DUMMYFUNCTION("""COMPUTED_VALUE"""),"Manufacturing / Production")</f>
        <v>Manufacturing / Production</v>
      </c>
      <c r="I14" s="6" t="str">
        <f ca="1">IFERROR(__xludf.DUMMYFUNCTION("""COMPUTED_VALUE"""),"Contract")</f>
        <v>Contract</v>
      </c>
      <c r="J14" s="6" t="str">
        <f ca="1">IFERROR(__xludf.DUMMYFUNCTION("""COMPUTED_VALUE"""),"$599,000,000 USD")</f>
        <v>$599,000,000 USD</v>
      </c>
      <c r="K14" s="6" t="str">
        <f ca="1">IFERROR(__xludf.DUMMYFUNCTION("""COMPUTED_VALUE"""),"JAM")</f>
        <v>JAM</v>
      </c>
      <c r="L14" s="6" t="str">
        <f ca="1">IFERROR(__xludf.DUMMYFUNCTION("""COMPUTED_VALUE"""),"Jamaica")</f>
        <v>Jamaica</v>
      </c>
      <c r="M14" s="6" t="str">
        <f ca="1">IFERROR(__xludf.DUMMYFUNCTION("""COMPUTED_VALUE"""),"St. Elizabeth, Jamaica")</f>
        <v>St. Elizabeth, Jamaica</v>
      </c>
      <c r="N14" s="6" t="str">
        <f ca="1">IFERROR(__xludf.DUMMYFUNCTION("""COMPUTED_VALUE"""),"JISCO reopened a plant in 2016 for US$299 million after it sat idle for the previous 8 years. JISCO has carried out US$300 million in initial rehabilitation and upgrades at the plant since its purchase and is expected to spend an additional US$6 billion i"&amp;"n the upcoming expansion of the plant. ")</f>
        <v xml:space="preserve">JISCO reopened a plant in 2016 for US$299 million after it sat idle for the previous 8 years. JISCO has carried out US$300 million in initial rehabilitation and upgrades at the plant since its purchase and is expected to spend an additional US$6 billion in the upcoming expansion of the plant. </v>
      </c>
      <c r="O14" s="6" t="str">
        <f ca="1">IFERROR(__xludf.DUMMYFUNCTION("""COMPUTED_VALUE"""),"00/00/2016")</f>
        <v>00/00/2016</v>
      </c>
      <c r="P14" s="6" t="str">
        <f ca="1">IFERROR(__xludf.DUMMYFUNCTION("""COMPUTED_VALUE"""),"N/A")</f>
        <v>N/A</v>
      </c>
      <c r="Q14" s="6" t="str">
        <f ca="1">IFERROR(__xludf.DUMMYFUNCTION("""COMPUTED_VALUE"""),"Under construction - on time")</f>
        <v>Under construction - on time</v>
      </c>
      <c r="R14" s="6" t="str">
        <f ca="1">IFERROR(__xludf.DUMMYFUNCTION("""COMPUTED_VALUE"""),"MFG")</f>
        <v>MFG</v>
      </c>
      <c r="S14" s="9" t="str">
        <f ca="1">IFERROR(__xludf.DUMMYFUNCTION("""COMPUTED_VALUE"""),"https://gist.github.com/mayadeutchman/12eb0677013df4c47639ff125a937b80")</f>
        <v>https://gist.github.com/mayadeutchman/12eb0677013df4c47639ff125a937b80</v>
      </c>
      <c r="T14" s="6" t="str">
        <f ca="1">IFERROR(__xludf.DUMMYFUNCTION("""COMPUTED_VALUE"""),"BLOB")</f>
        <v>BLOB</v>
      </c>
      <c r="U14" s="6" t="str">
        <f ca="1">IFERROR(__xludf.DUMMYFUNCTION("""COMPUTED_VALUE"""),"Looked at satellite imagery and followed google maps")</f>
        <v>Looked at satellite imagery and followed google maps</v>
      </c>
      <c r="V14" s="6" t="str">
        <f ca="1">IFERROR(__xludf.DUMMYFUNCTION("""COMPUTED_VALUE"""),"Yes (Both)")</f>
        <v>Yes (Both)</v>
      </c>
      <c r="W14" s="6" t="str">
        <f ca="1">IFERROR(__xludf.DUMMYFUNCTION("""COMPUTED_VALUE"""),"Saint Elizabeth")</f>
        <v>Saint Elizabeth</v>
      </c>
      <c r="X14" s="6" t="str">
        <f ca="1">IFERROR(__xludf.DUMMYFUNCTION("""COMPUTED_VALUE"""),"11/12/2017,
10/08/2019")</f>
        <v>11/12/2017,
10/08/2019</v>
      </c>
      <c r="Y14" s="6" t="str">
        <f ca="1">IFERROR(__xludf.DUMMYFUNCTION("""COMPUTED_VALUE"""),"We are looking at a JISCO plant prior to and as it is in the process of refurbishment ")</f>
        <v xml:space="preserve">We are looking at a JISCO plant prior to and as it is in the process of refurbishment </v>
      </c>
      <c r="Z14" s="6"/>
      <c r="AA14" s="6"/>
      <c r="AB14" s="6"/>
      <c r="AC14" s="6"/>
      <c r="AD14" s="6"/>
      <c r="AE14" s="6"/>
      <c r="AF14" s="6"/>
      <c r="AG14" s="6"/>
    </row>
    <row r="15" spans="1:33" ht="39.6" x14ac:dyDescent="0.25">
      <c r="A15" s="6">
        <f ca="1">IFERROR(__xludf.DUMMYFUNCTION("""COMPUTED_VALUE"""),14)</f>
        <v>14</v>
      </c>
      <c r="B15" s="10">
        <f ca="1">IFERROR(__xludf.DUMMYFUNCTION("""COMPUTED_VALUE"""),2)</f>
        <v>2</v>
      </c>
      <c r="C15" s="6" t="str">
        <f ca="1">IFERROR(__xludf.DUMMYFUNCTION("""COMPUTED_VALUE"""),"Drinking Water Project")</f>
        <v>Drinking Water Project</v>
      </c>
      <c r="D15" s="6" t="str">
        <f ca="1">IFERROR(__xludf.DUMMYFUNCTION("""COMPUTED_VALUE"""),"Other Chinese Institution")</f>
        <v>Other Chinese Institution</v>
      </c>
      <c r="E15" s="6" t="str">
        <f ca="1">IFERROR(__xludf.DUMMYFUNCTION("""COMPUTED_VALUE"""),"PRC")</f>
        <v>PRC</v>
      </c>
      <c r="F15" s="6" t="str">
        <f ca="1">IFERROR(__xludf.DUMMYFUNCTION("""COMPUTED_VALUE"""),"China Tiesiju Civil Engineering Group")</f>
        <v>China Tiesiju Civil Engineering Group</v>
      </c>
      <c r="G15" s="6">
        <f ca="1">IFERROR(__xludf.DUMMYFUNCTION("""COMPUTED_VALUE"""),1.1)</f>
        <v>1.1000000000000001</v>
      </c>
      <c r="H15" s="6" t="str">
        <f ca="1">IFERROR(__xludf.DUMMYFUNCTION("""COMPUTED_VALUE"""),"WASH")</f>
        <v>WASH</v>
      </c>
      <c r="I15" s="6" t="str">
        <f ca="1">IFERROR(__xludf.DUMMYFUNCTION("""COMPUTED_VALUE"""),"Contract, Donation")</f>
        <v>Contract, Donation</v>
      </c>
      <c r="J15" s="7" t="str">
        <f ca="1">IFERROR(__xludf.DUMMYFUNCTION("""COMPUTED_VALUE"""),"$16,000,000 USD")</f>
        <v>$16,000,000 USD</v>
      </c>
      <c r="K15" s="6" t="str">
        <f ca="1">IFERROR(__xludf.DUMMYFUNCTION("""COMPUTED_VALUE"""),"CRI")</f>
        <v>CRI</v>
      </c>
      <c r="L15" s="6" t="str">
        <f ca="1">IFERROR(__xludf.DUMMYFUNCTION("""COMPUTED_VALUE"""),"Costa Rica")</f>
        <v>Costa Rica</v>
      </c>
      <c r="M15" s="6" t="str">
        <f ca="1">IFERROR(__xludf.DUMMYFUNCTION("""COMPUTED_VALUE"""),"Sandillal de Canas;
Canas &amp; Bebedero, Costa Rica")</f>
        <v>Sandillal de Canas;
Canas &amp; Bebedero, Costa Rica</v>
      </c>
      <c r="N15" s="6" t="str">
        <f ca="1">IFERROR(__xludf.DUMMYFUNCTION("""COMPUTED_VALUE"""),"China Tiesiju Civil Engineering Group is leading a project to channel water from a reservoir in Sandillal de Canas to the cities of Canas and Bebedero.  This project involves a 14km pipeline, a water intake pumping station, and a treatment plant.")</f>
        <v>China Tiesiju Civil Engineering Group is leading a project to channel water from a reservoir in Sandillal de Canas to the cities of Canas and Bebedero.  This project involves a 14km pipeline, a water intake pumping station, and a treatment plant.</v>
      </c>
      <c r="O15" s="6" t="str">
        <f ca="1">IFERROR(__xludf.DUMMYFUNCTION("""COMPUTED_VALUE"""),"04/00/2019")</f>
        <v>04/00/2019</v>
      </c>
      <c r="P15" s="6" t="str">
        <f ca="1">IFERROR(__xludf.DUMMYFUNCTION("""COMPUTED_VALUE"""),"N/A")</f>
        <v>N/A</v>
      </c>
      <c r="Q15" s="6" t="str">
        <f ca="1">IFERROR(__xludf.DUMMYFUNCTION("""COMPUTED_VALUE"""),"Under construction - on time")</f>
        <v>Under construction - on time</v>
      </c>
      <c r="R15" s="6" t="str">
        <f ca="1">IFERROR(__xludf.DUMMYFUNCTION("""COMPUTED_VALUE"""),"PMPW")</f>
        <v>PMPW</v>
      </c>
      <c r="S15" s="9" t="str">
        <f ca="1">IFERROR(__xludf.DUMMYFUNCTION("""COMPUTED_VALUE"""),"https://gist.github.com/Remy2020/def6ab01de5e6fe994cf62a63c6afee9")</f>
        <v>https://gist.github.com/Remy2020/def6ab01de5e6fe994cf62a63c6afee9</v>
      </c>
      <c r="T15" s="6" t="str">
        <f ca="1">IFERROR(__xludf.DUMMYFUNCTION("""COMPUTED_VALUE"""),"BLOB")</f>
        <v>BLOB</v>
      </c>
      <c r="U15" s="6" t="str">
        <f ca="1">IFERROR(__xludf.DUMMYFUNCTION("""COMPUTED_VALUE"""),"Looked at satellite imagery and followed google maps")</f>
        <v>Looked at satellite imagery and followed google maps</v>
      </c>
      <c r="V15" s="6" t="str">
        <f ca="1">IFERROR(__xludf.DUMMYFUNCTION("""COMPUTED_VALUE"""),"Yes (Both)")</f>
        <v>Yes (Both)</v>
      </c>
      <c r="W15" s="6" t="str">
        <f ca="1">IFERROR(__xludf.DUMMYFUNCTION("""COMPUTED_VALUE"""),"Provincia Guanacaste")</f>
        <v>Provincia Guanacaste</v>
      </c>
      <c r="X15" s="6" t="str">
        <f ca="1">IFERROR(__xludf.DUMMYFUNCTION("""COMPUTED_VALUE"""),"2019-03-01 | 2020-08-31")</f>
        <v>2019-03-01 | 2020-08-31</v>
      </c>
      <c r="Y15" s="6" t="str">
        <f ca="1">IFERROR(__xludf.DUMMYFUNCTION("""COMPUTED_VALUE"""),"Images show several buildings being constructed on the south side of the lake")</f>
        <v>Images show several buildings being constructed on the south side of the lake</v>
      </c>
      <c r="Z15" s="6" t="str">
        <f ca="1">IFERROR(__xludf.DUMMYFUNCTION("""COMPUTED_VALUE"""),"LAT: 10.4621  LON: -85.09879")</f>
        <v>LAT: 10.4621  LON: -85.09879</v>
      </c>
      <c r="AA15" s="6"/>
      <c r="AB15" s="6"/>
      <c r="AC15" s="6"/>
      <c r="AD15" s="6"/>
      <c r="AE15" s="6"/>
      <c r="AF15" s="6"/>
      <c r="AG15" s="6"/>
    </row>
    <row r="16" spans="1:33" ht="39.6" x14ac:dyDescent="0.25">
      <c r="A16" s="6">
        <f ca="1">IFERROR(__xludf.DUMMYFUNCTION("""COMPUTED_VALUE"""),15)</f>
        <v>15</v>
      </c>
      <c r="B16" s="10">
        <f ca="1">IFERROR(__xludf.DUMMYFUNCTION("""COMPUTED_VALUE"""),2)</f>
        <v>2</v>
      </c>
      <c r="C16" s="6" t="str">
        <f ca="1">IFERROR(__xludf.DUMMYFUNCTION("""COMPUTED_VALUE"""),"Modernization of Estadio Nacional")</f>
        <v>Modernization of Estadio Nacional</v>
      </c>
      <c r="D16" s="6" t="str">
        <f ca="1">IFERROR(__xludf.DUMMYFUNCTION("""COMPUTED_VALUE"""),"Other Chinese Institution")</f>
        <v>Other Chinese Institution</v>
      </c>
      <c r="E16" s="6" t="str">
        <f ca="1">IFERROR(__xludf.DUMMYFUNCTION("""COMPUTED_VALUE"""),"PRC")</f>
        <v>PRC</v>
      </c>
      <c r="F16" s="6" t="str">
        <f ca="1">IFERROR(__xludf.DUMMYFUNCTION("""COMPUTED_VALUE"""),"N/A")</f>
        <v>N/A</v>
      </c>
      <c r="G16" s="6">
        <f ca="1">IFERROR(__xludf.DUMMYFUNCTION("""COMPUTED_VALUE"""),1.3)</f>
        <v>1.3</v>
      </c>
      <c r="H16" s="6" t="str">
        <f ca="1">IFERROR(__xludf.DUMMYFUNCTION("""COMPUTED_VALUE"""),"Recreational")</f>
        <v>Recreational</v>
      </c>
      <c r="I16" s="6" t="str">
        <f ca="1">IFERROR(__xludf.DUMMYFUNCTION("""COMPUTED_VALUE"""),"Donation")</f>
        <v>Donation</v>
      </c>
      <c r="J16" s="7" t="str">
        <f ca="1">IFERROR(__xludf.DUMMYFUNCTION("""COMPUTED_VALUE"""),"$11,000,000 USD")</f>
        <v>$11,000,000 USD</v>
      </c>
      <c r="K16" s="6" t="str">
        <f ca="1">IFERROR(__xludf.DUMMYFUNCTION("""COMPUTED_VALUE"""),"CRI")</f>
        <v>CRI</v>
      </c>
      <c r="L16" s="6" t="str">
        <f ca="1">IFERROR(__xludf.DUMMYFUNCTION("""COMPUTED_VALUE"""),"Costa Rica")</f>
        <v>Costa Rica</v>
      </c>
      <c r="M16" s="6" t="str">
        <f ca="1">IFERROR(__xludf.DUMMYFUNCTION("""COMPUTED_VALUE"""),"La Sabana Metropolitan Park, San José, Costa Rica")</f>
        <v>La Sabana Metropolitan Park, San José, Costa Rica</v>
      </c>
      <c r="N16" s="6" t="str">
        <f ca="1">IFERROR(__xludf.DUMMYFUNCTION("""COMPUTED_VALUE"""),"The Chinese Government is providing funding for the development of the Estadio Nacional, used for the updating of security systems, delivery of equipment, and arrival of Chinese Professionals for training purpose. This includes the transfer of $915 thousa"&amp;"nd to the National Olympic Committee of Costa Rica. Planned in 2018, construction of the Estadio Nacional began in 2019.")</f>
        <v>The Chinese Government is providing funding for the development of the Estadio Nacional, used for the updating of security systems, delivery of equipment, and arrival of Chinese Professionals for training purpose. This includes the transfer of $915 thousand to the National Olympic Committee of Costa Rica. Planned in 2018, construction of the Estadio Nacional began in 2019.</v>
      </c>
      <c r="O16" s="6" t="str">
        <f ca="1">IFERROR(__xludf.DUMMYFUNCTION("""COMPUTED_VALUE"""),"00/00/2018")</f>
        <v>00/00/2018</v>
      </c>
      <c r="P16" s="6" t="str">
        <f ca="1">IFERROR(__xludf.DUMMYFUNCTION("""COMPUTED_VALUE"""),"N/A")</f>
        <v>N/A</v>
      </c>
      <c r="Q16" s="6" t="str">
        <f ca="1">IFERROR(__xludf.DUMMYFUNCTION("""COMPUTED_VALUE"""),"Under construction - unknown")</f>
        <v>Under construction - unknown</v>
      </c>
      <c r="R16" s="6" t="str">
        <f ca="1">IFERROR(__xludf.DUMMYFUNCTION("""COMPUTED_VALUE"""),"STDM")</f>
        <v>STDM</v>
      </c>
      <c r="S16" s="9" t="str">
        <f ca="1">IFERROR(__xludf.DUMMYFUNCTION("""COMPUTED_VALUE"""),"https://gist.github.com/mayadeutchman/482059f3c023e32c87dc55367847e862")</f>
        <v>https://gist.github.com/mayadeutchman/482059f3c023e32c87dc55367847e862</v>
      </c>
      <c r="T16" s="6" t="str">
        <f ca="1">IFERROR(__xludf.DUMMYFUNCTION("""COMPUTED_VALUE"""),"BLOB")</f>
        <v>BLOB</v>
      </c>
      <c r="U16" s="6" t="str">
        <f ca="1">IFERROR(__xludf.DUMMYFUNCTION("""COMPUTED_VALUE"""),"Looked at satellite imagery and followed google maps")</f>
        <v>Looked at satellite imagery and followed google maps</v>
      </c>
      <c r="V16" s="6" t="str">
        <f ca="1">IFERROR(__xludf.DUMMYFUNCTION("""COMPUTED_VALUE"""),"Yes (Both)")</f>
        <v>Yes (Both)</v>
      </c>
      <c r="W16" s="6" t="str">
        <f ca="1">IFERROR(__xludf.DUMMYFUNCTION("""COMPUTED_VALUE"""),"Provincia San Jose")</f>
        <v>Provincia San Jose</v>
      </c>
      <c r="X16" s="6"/>
      <c r="Y16" s="6"/>
      <c r="Z16" s="6"/>
      <c r="AA16" s="6"/>
      <c r="AB16" s="6"/>
      <c r="AC16" s="6"/>
      <c r="AD16" s="6"/>
      <c r="AE16" s="6"/>
      <c r="AF16" s="6"/>
      <c r="AG16" s="6"/>
    </row>
    <row r="17" spans="1:33" ht="39.6" x14ac:dyDescent="0.25">
      <c r="A17" s="6">
        <f ca="1">IFERROR(__xludf.DUMMYFUNCTION("""COMPUTED_VALUE"""),16)</f>
        <v>16</v>
      </c>
      <c r="B17" s="10">
        <f ca="1">IFERROR(__xludf.DUMMYFUNCTION("""COMPUTED_VALUE"""),2)</f>
        <v>2</v>
      </c>
      <c r="C17" s="6" t="str">
        <f ca="1">IFERROR(__xludf.DUMMYFUNCTION("""COMPUTED_VALUE"""),"Building of Estadio Nacional")</f>
        <v>Building of Estadio Nacional</v>
      </c>
      <c r="D17" s="6" t="str">
        <f ca="1">IFERROR(__xludf.DUMMYFUNCTION("""COMPUTED_VALUE"""),"Other Chinese Institution")</f>
        <v>Other Chinese Institution</v>
      </c>
      <c r="E17" s="6" t="str">
        <f ca="1">IFERROR(__xludf.DUMMYFUNCTION("""COMPUTED_VALUE"""),"PRC")</f>
        <v>PRC</v>
      </c>
      <c r="F17" s="6" t="str">
        <f ca="1">IFERROR(__xludf.DUMMYFUNCTION("""COMPUTED_VALUE"""),"Anhui Foreign Economic Construction")</f>
        <v>Anhui Foreign Economic Construction</v>
      </c>
      <c r="G17" s="6">
        <f ca="1">IFERROR(__xludf.DUMMYFUNCTION("""COMPUTED_VALUE"""),4)</f>
        <v>4</v>
      </c>
      <c r="H17" s="6" t="str">
        <f ca="1">IFERROR(__xludf.DUMMYFUNCTION("""COMPUTED_VALUE"""),"Recreational")</f>
        <v>Recreational</v>
      </c>
      <c r="I17" s="6" t="str">
        <f ca="1">IFERROR(__xludf.DUMMYFUNCTION("""COMPUTED_VALUE"""),"Contract, Donation")</f>
        <v>Contract, Donation</v>
      </c>
      <c r="J17" s="7" t="str">
        <f ca="1">IFERROR(__xludf.DUMMYFUNCTION("""COMPUTED_VALUE"""),"$100,000,000 USD")</f>
        <v>$100,000,000 USD</v>
      </c>
      <c r="K17" s="6" t="str">
        <f ca="1">IFERROR(__xludf.DUMMYFUNCTION("""COMPUTED_VALUE"""),"CRI")</f>
        <v>CRI</v>
      </c>
      <c r="L17" s="6" t="str">
        <f ca="1">IFERROR(__xludf.DUMMYFUNCTION("""COMPUTED_VALUE"""),"Costa Rica")</f>
        <v>Costa Rica</v>
      </c>
      <c r="M17" s="6" t="str">
        <f ca="1">IFERROR(__xludf.DUMMYFUNCTION("""COMPUTED_VALUE"""),"La Sabana Metropolitan Park, San José, Costa Rica")</f>
        <v>La Sabana Metropolitan Park, San José, Costa Rica</v>
      </c>
      <c r="N17" s="6" t="str">
        <f ca="1">IFERROR(__xludf.DUMMYFUNCTION("""COMPUTED_VALUE"""),"The Chinese government financed the construction of the stadium in its totality, along with its furnishing, and assumed all other costs. This financing serves as part of the package encouraging Costa Rica to recognize China instead of Taiwan.  While costs"&amp;" originally started around $80 million, the reached closer to $100,000,000 by the project's completion.")</f>
        <v>The Chinese government financed the construction of the stadium in its totality, along with its furnishing, and assumed all other costs. This financing serves as part of the package encouraging Costa Rica to recognize China instead of Taiwan.  While costs originally started around $80 million, the reached closer to $100,000,000 by the project's completion.</v>
      </c>
      <c r="O17" s="6" t="str">
        <f ca="1">IFERROR(__xludf.DUMMYFUNCTION("""COMPUTED_VALUE"""),"00/00/2007")</f>
        <v>00/00/2007</v>
      </c>
      <c r="P17" s="12">
        <f ca="1">IFERROR(__xludf.DUMMYFUNCTION("""COMPUTED_VALUE"""),40628)</f>
        <v>40628</v>
      </c>
      <c r="Q17" s="6" t="str">
        <f ca="1">IFERROR(__xludf.DUMMYFUNCTION("""COMPUTED_VALUE"""),"Completed")</f>
        <v>Completed</v>
      </c>
      <c r="R17" s="6" t="str">
        <f ca="1">IFERROR(__xludf.DUMMYFUNCTION("""COMPUTED_VALUE"""),"STDM")</f>
        <v>STDM</v>
      </c>
      <c r="S17" s="9" t="str">
        <f ca="1">IFERROR(__xludf.DUMMYFUNCTION("""COMPUTED_VALUE"""),"https://gist.github.com/mayadeutchman/482059f3c023e32c87dc55367847e862")</f>
        <v>https://gist.github.com/mayadeutchman/482059f3c023e32c87dc55367847e862</v>
      </c>
      <c r="T17" s="6" t="str">
        <f ca="1">IFERROR(__xludf.DUMMYFUNCTION("""COMPUTED_VALUE"""),"BLOB")</f>
        <v>BLOB</v>
      </c>
      <c r="U17" s="6" t="str">
        <f ca="1">IFERROR(__xludf.DUMMYFUNCTION("""COMPUTED_VALUE"""),"Looked at satellite imagery and followed google maps (same location and information as Activity 15)")</f>
        <v>Looked at satellite imagery and followed google maps (same location and information as Activity 15)</v>
      </c>
      <c r="V17" s="6" t="str">
        <f ca="1">IFERROR(__xludf.DUMMYFUNCTION("""COMPUTED_VALUE"""),"Yes (Both)")</f>
        <v>Yes (Both)</v>
      </c>
      <c r="W17" s="6" t="str">
        <f ca="1">IFERROR(__xludf.DUMMYFUNCTION("""COMPUTED_VALUE"""),"Provincia San Jose")</f>
        <v>Provincia San Jose</v>
      </c>
      <c r="X17" s="6"/>
      <c r="Y17" s="6"/>
      <c r="Z17" s="6"/>
      <c r="AA17" s="6"/>
      <c r="AB17" s="6"/>
      <c r="AC17" s="6"/>
      <c r="AD17" s="6"/>
      <c r="AE17" s="6"/>
      <c r="AF17" s="6"/>
      <c r="AG17" s="6"/>
    </row>
    <row r="18" spans="1:33" ht="66" x14ac:dyDescent="0.25">
      <c r="A18" s="6">
        <f ca="1">IFERROR(__xludf.DUMMYFUNCTION("""COMPUTED_VALUE"""),17)</f>
        <v>17</v>
      </c>
      <c r="B18" s="10">
        <f ca="1">IFERROR(__xludf.DUMMYFUNCTION("""COMPUTED_VALUE"""),3)</f>
        <v>3</v>
      </c>
      <c r="C18" s="6" t="str">
        <f ca="1">IFERROR(__xludf.DUMMYFUNCTION("""COMPUTED_VALUE"""),"Expansion of Route 32")</f>
        <v>Expansion of Route 32</v>
      </c>
      <c r="D18" s="6" t="str">
        <f ca="1">IFERROR(__xludf.DUMMYFUNCTION("""COMPUTED_VALUE"""),"CHEXIM")</f>
        <v>CHEXIM</v>
      </c>
      <c r="E18" s="6" t="str">
        <f ca="1">IFERROR(__xludf.DUMMYFUNCTION("""COMPUTED_VALUE"""),"CHEXIM")</f>
        <v>CHEXIM</v>
      </c>
      <c r="F18" s="6" t="str">
        <f ca="1">IFERROR(__xludf.DUMMYFUNCTION("""COMPUTED_VALUE"""),"China Harbour Engineering Company (CHEC)")</f>
        <v>China Harbour Engineering Company (CHEC)</v>
      </c>
      <c r="G18" s="6">
        <f ca="1">IFERROR(__xludf.DUMMYFUNCTION("""COMPUTED_VALUE"""),4)</f>
        <v>4</v>
      </c>
      <c r="H18" s="6" t="str">
        <f ca="1">IFERROR(__xludf.DUMMYFUNCTION("""COMPUTED_VALUE"""),"Bridge, Road")</f>
        <v>Bridge, Road</v>
      </c>
      <c r="I18" s="6" t="str">
        <f ca="1">IFERROR(__xludf.DUMMYFUNCTION("""COMPUTED_VALUE"""),"Contract, Loan")</f>
        <v>Contract, Loan</v>
      </c>
      <c r="J18" s="6" t="str">
        <f ca="1">IFERROR(__xludf.DUMMYFUNCTION("""COMPUTED_VALUE"""),"$485,000,000 USD")</f>
        <v>$485,000,000 USD</v>
      </c>
      <c r="K18" s="6" t="str">
        <f ca="1">IFERROR(__xludf.DUMMYFUNCTION("""COMPUTED_VALUE"""),"CRI")</f>
        <v>CRI</v>
      </c>
      <c r="L18" s="6" t="str">
        <f ca="1">IFERROR(__xludf.DUMMYFUNCTION("""COMPUTED_VALUE"""),"Costa Rica")</f>
        <v>Costa Rica</v>
      </c>
      <c r="M18" s="6" t="str">
        <f ca="1">IFERROR(__xludf.DUMMYFUNCTION("""COMPUTED_VALUE"""),"San Jose, Costa Rica to Puerto Limon, Costa Rica (specifically Limon and Moin port terminals)")</f>
        <v>San Jose, Costa Rica to Puerto Limon, Costa Rica (specifically Limon and Moin port terminals)</v>
      </c>
      <c r="N18" s="6" t="str">
        <f ca="1">IFERROR(__xludf.DUMMYFUNCTION("""COMPUTED_VALUE"""),"Expansion of Highway 32, a core highway in Costa Rica from Limon to San Jose, 36 bridges, 13 overpasses, 11 exits, 176 bus bays,  lane expansion, and 107 km extension. Chinese firms were picked over a coalition of all Costa Rican Contractors. The bulk of "&amp;"the financial aid was made through the Export-Import Bank of China, which said it was giving a $296 million loan to fund the extension of a road to connect the central part of Costa Rica to its main shipping port in the Caribbean. $395 million of the tota"&amp;"l $485 million cost are loans.")</f>
        <v>Expansion of Highway 32, a core highway in Costa Rica from Limon to San Jose, 36 bridges, 13 overpasses, 11 exits, 176 bus bays,  lane expansion, and 107 km extension. Chinese firms were picked over a coalition of all Costa Rican Contractors. The bulk of the financial aid was made through the Export-Import Bank of China, which said it was giving a $296 million loan to fund the extension of a road to connect the central part of Costa Rica to its main shipping port in the Caribbean. $395 million of the total $485 million cost are loans.</v>
      </c>
      <c r="O18" s="6" t="str">
        <f ca="1">IFERROR(__xludf.DUMMYFUNCTION("""COMPUTED_VALUE"""),"02/00/2015")</f>
        <v>02/00/2015</v>
      </c>
      <c r="P18" s="6" t="str">
        <f ca="1">IFERROR(__xludf.DUMMYFUNCTION("""COMPUTED_VALUE"""),"N/A")</f>
        <v>N/A</v>
      </c>
      <c r="Q18" s="6" t="str">
        <f ca="1">IFERROR(__xludf.DUMMYFUNCTION("""COMPUTED_VALUE"""),"Under construction - on time")</f>
        <v>Under construction - on time</v>
      </c>
      <c r="R18" s="6" t="str">
        <f ca="1">IFERROR(__xludf.DUMMYFUNCTION("""COMPUTED_VALUE"""),"RD")</f>
        <v>RD</v>
      </c>
      <c r="S18" s="9" t="str">
        <f ca="1">IFERROR(__xludf.DUMMYFUNCTION("""COMPUTED_VALUE"""),"https://gist.github.com/mayadeutchman/5d06de7d4d06b21fb57e808f71b15d83")</f>
        <v>https://gist.github.com/mayadeutchman/5d06de7d4d06b21fb57e808f71b15d83</v>
      </c>
      <c r="T18" s="6" t="str">
        <f ca="1">IFERROR(__xludf.DUMMYFUNCTION("""COMPUTED_VALUE"""),"BLOB")</f>
        <v>BLOB</v>
      </c>
      <c r="U18" s="6" t="str">
        <f ca="1">IFERROR(__xludf.DUMMYFUNCTION("""COMPUTED_VALUE"""),"Used satellite imagery and followed google maps")</f>
        <v>Used satellite imagery and followed google maps</v>
      </c>
      <c r="V18" s="6" t="str">
        <f ca="1">IFERROR(__xludf.DUMMYFUNCTION("""COMPUTED_VALUE"""),"No")</f>
        <v>No</v>
      </c>
      <c r="W18" s="6" t="str">
        <f ca="1">IFERROR(__xludf.DUMMYFUNCTION("""COMPUTED_VALUE"""),"NA")</f>
        <v>NA</v>
      </c>
      <c r="X18" s="6"/>
      <c r="Y18" s="6"/>
      <c r="Z18" s="6"/>
      <c r="AA18" s="6"/>
      <c r="AB18" s="6"/>
      <c r="AC18" s="6"/>
      <c r="AD18" s="6"/>
      <c r="AE18" s="6"/>
      <c r="AF18" s="6"/>
      <c r="AG18" s="6"/>
    </row>
    <row r="19" spans="1:33" ht="39.6" x14ac:dyDescent="0.25">
      <c r="A19" s="6">
        <f ca="1">IFERROR(__xludf.DUMMYFUNCTION("""COMPUTED_VALUE"""),18)</f>
        <v>18</v>
      </c>
      <c r="B19" s="10">
        <f ca="1">IFERROR(__xludf.DUMMYFUNCTION("""COMPUTED_VALUE"""),3)</f>
        <v>3</v>
      </c>
      <c r="C19" s="6" t="str">
        <f ca="1">IFERROR(__xludf.DUMMYFUNCTION("""COMPUTED_VALUE"""),"Construction of National Police Academy")</f>
        <v>Construction of National Police Academy</v>
      </c>
      <c r="D19" s="6" t="str">
        <f ca="1">IFERROR(__xludf.DUMMYFUNCTION("""COMPUTED_VALUE"""),"Other Chinese Institution")</f>
        <v>Other Chinese Institution</v>
      </c>
      <c r="E19" s="6" t="str">
        <f ca="1">IFERROR(__xludf.DUMMYFUNCTION("""COMPUTED_VALUE"""),"PRC")</f>
        <v>PRC</v>
      </c>
      <c r="F19" s="6" t="str">
        <f ca="1">IFERROR(__xludf.DUMMYFUNCTION("""COMPUTED_VALUE"""),"PRC")</f>
        <v>PRC</v>
      </c>
      <c r="G19" s="6">
        <f ca="1">IFERROR(__xludf.DUMMYFUNCTION("""COMPUTED_VALUE"""),4)</f>
        <v>4</v>
      </c>
      <c r="H19" s="6" t="str">
        <f ca="1">IFERROR(__xludf.DUMMYFUNCTION("""COMPUTED_VALUE"""),"Security")</f>
        <v>Security</v>
      </c>
      <c r="I19" s="6" t="str">
        <f ca="1">IFERROR(__xludf.DUMMYFUNCTION("""COMPUTED_VALUE"""),"Donation, Vague")</f>
        <v>Donation, Vague</v>
      </c>
      <c r="J19" s="6" t="str">
        <f ca="1">IFERROR(__xludf.DUMMYFUNCTION("""COMPUTED_VALUE"""),"$20,000,000 USD")</f>
        <v>$20,000,000 USD</v>
      </c>
      <c r="K19" s="6" t="str">
        <f ca="1">IFERROR(__xludf.DUMMYFUNCTION("""COMPUTED_VALUE"""),"CRI")</f>
        <v>CRI</v>
      </c>
      <c r="L19" s="6" t="str">
        <f ca="1">IFERROR(__xludf.DUMMYFUNCTION("""COMPUTED_VALUE"""),"Costa Rica")</f>
        <v>Costa Rica</v>
      </c>
      <c r="M19" s="6" t="str">
        <f ca="1">IFERROR(__xludf.DUMMYFUNCTION("""COMPUTED_VALUE"""),"Pococí, Limon, Costa Rica")</f>
        <v>Pococí, Limon, Costa Rica</v>
      </c>
      <c r="N19" s="6" t="str">
        <f ca="1">IFERROR(__xludf.DUMMYFUNCTION("""COMPUTED_VALUE"""),"The campus includes dormitory towers, a dining room, a gym, and football and basketball court, in addition to classrooms, libraries and training areas for future officers, used to train future international police as well as China donated two aircrafts. $"&amp;"15,000,000 of the total $20,000,000 cost was donated.")</f>
        <v>The campus includes dormitory towers, a dining room, a gym, and football and basketball court, in addition to classrooms, libraries and training areas for future officers, used to train future international police as well as China donated two aircrafts. $15,000,000 of the total $20,000,000 cost was donated.</v>
      </c>
      <c r="O19" s="6" t="str">
        <f ca="1">IFERROR(__xludf.DUMMYFUNCTION("""COMPUTED_VALUE"""),"N/A")</f>
        <v>N/A</v>
      </c>
      <c r="P19" s="6" t="str">
        <f ca="1">IFERROR(__xludf.DUMMYFUNCTION("""COMPUTED_VALUE"""),"08/00/2017")</f>
        <v>08/00/2017</v>
      </c>
      <c r="Q19" s="6" t="str">
        <f ca="1">IFERROR(__xludf.DUMMYFUNCTION("""COMPUTED_VALUE"""),"Completed")</f>
        <v>Completed</v>
      </c>
      <c r="R19" s="6" t="str">
        <f ca="1">IFERROR(__xludf.DUMMYFUNCTION("""COMPUTED_VALUE"""),"SCH")</f>
        <v>SCH</v>
      </c>
      <c r="S19" s="9" t="str">
        <f ca="1">IFERROR(__xludf.DUMMYFUNCTION("""COMPUTED_VALUE"""),"https://gist.github.com/micrittenden/241f8fa9e421142ff69eead66858d595")</f>
        <v>https://gist.github.com/micrittenden/241f8fa9e421142ff69eead66858d595</v>
      </c>
      <c r="T19" s="6" t="str">
        <f ca="1">IFERROR(__xludf.DUMMYFUNCTION("""COMPUTED_VALUE"""),"BLOB")</f>
        <v>BLOB</v>
      </c>
      <c r="U19" s="6" t="str">
        <f ca="1">IFERROR(__xludf.DUMMYFUNCTION("""COMPUTED_VALUE"""),"Used satellite imagery and followed google maps")</f>
        <v>Used satellite imagery and followed google maps</v>
      </c>
      <c r="V19" s="6" t="str">
        <f ca="1">IFERROR(__xludf.DUMMYFUNCTION("""COMPUTED_VALUE"""),"Yes (Both)")</f>
        <v>Yes (Both)</v>
      </c>
      <c r="W19" s="6" t="str">
        <f ca="1">IFERROR(__xludf.DUMMYFUNCTION("""COMPUTED_VALUE"""),"Provincia Limon")</f>
        <v>Provincia Limon</v>
      </c>
      <c r="X19" s="6"/>
      <c r="Y19" s="6"/>
      <c r="Z19" s="6"/>
      <c r="AA19" s="6"/>
      <c r="AB19" s="6"/>
      <c r="AC19" s="6"/>
      <c r="AD19" s="6"/>
      <c r="AE19" s="6"/>
      <c r="AF19" s="6"/>
      <c r="AG19" s="6"/>
    </row>
    <row r="20" spans="1:33" ht="92.4" x14ac:dyDescent="0.25">
      <c r="A20" s="6">
        <f ca="1">IFERROR(__xludf.DUMMYFUNCTION("""COMPUTED_VALUE"""),19)</f>
        <v>19</v>
      </c>
      <c r="B20" s="10">
        <f ca="1">IFERROR(__xludf.DUMMYFUNCTION("""COMPUTED_VALUE"""),2)</f>
        <v>2</v>
      </c>
      <c r="C20" s="6" t="str">
        <f ca="1">IFERROR(__xludf.DUMMYFUNCTION("""COMPUTED_VALUE"""),"Chucas Hydroelectric Plant")</f>
        <v>Chucas Hydroelectric Plant</v>
      </c>
      <c r="D20" s="6" t="str">
        <f ca="1">IFERROR(__xludf.DUMMYFUNCTION("""COMPUTED_VALUE"""),"Other Chinese Institution")</f>
        <v>Other Chinese Institution</v>
      </c>
      <c r="E20" s="6" t="str">
        <f ca="1">IFERROR(__xludf.DUMMYFUNCTION("""COMPUTED_VALUE"""),"SinoHydro Corp.")</f>
        <v>SinoHydro Corp.</v>
      </c>
      <c r="F20" s="6" t="str">
        <f ca="1">IFERROR(__xludf.DUMMYFUNCTION("""COMPUTED_VALUE"""),"SinoHydro Corp.")</f>
        <v>SinoHydro Corp.</v>
      </c>
      <c r="G20" s="6">
        <f ca="1">IFERROR(__xludf.DUMMYFUNCTION("""COMPUTED_VALUE"""),4)</f>
        <v>4</v>
      </c>
      <c r="H20" s="6" t="str">
        <f ca="1">IFERROR(__xludf.DUMMYFUNCTION("""COMPUTED_VALUE"""),"Energy - sustainable")</f>
        <v>Energy - sustainable</v>
      </c>
      <c r="I20" s="6" t="str">
        <f ca="1">IFERROR(__xludf.DUMMYFUNCTION("""COMPUTED_VALUE"""),"Contract")</f>
        <v>Contract</v>
      </c>
      <c r="J20" s="7" t="str">
        <f ca="1">IFERROR(__xludf.DUMMYFUNCTION("""COMPUTED_VALUE"""),"$1,200,000,000 USD")</f>
        <v>$1,200,000,000 USD</v>
      </c>
      <c r="K20" s="6" t="str">
        <f ca="1">IFERROR(__xludf.DUMMYFUNCTION("""COMPUTED_VALUE"""),"CRI")</f>
        <v>CRI</v>
      </c>
      <c r="L20" s="6" t="str">
        <f ca="1">IFERROR(__xludf.DUMMYFUNCTION("""COMPUTED_VALUE"""),"Costa Rica")</f>
        <v>Costa Rica</v>
      </c>
      <c r="M20" s="6" t="str">
        <f ca="1">IFERROR(__xludf.DUMMYFUNCTION("""COMPUTED_VALUE"""),"Tarcoles River, 40km south of San Jose, Costa Rica")</f>
        <v>Tarcoles River, 40km south of San Jose, Costa Rica</v>
      </c>
      <c r="N20" s="6" t="str">
        <f ca="1">IFERROR(__xludf.DUMMYFUNCTION("""COMPUTED_VALUE"""),"As the first cooperative project between China and Costa Rica involving hydropower, it is also the first contract secured by POWERCHINA in Latin America through competitive bidding. The participating staff made active efforts to overcome the language barr"&amp;"ier, cultural differences, as well as differences in standards and specifications. They strived to adapt to the local legal system, improve the localized management, enhance HSE management capabilities, properly handle contract management, and control all"&amp;" types of construction risks, thereby ensuring the orderly progress of construction and production. The first unit was installed in November 2015, and the installation of the second unit was completed in February 2016. Water-free debugging and acceptance "&amp;"of the two units were completed on May 30. In September, the impoundment target of the dam was completed.")</f>
        <v>As the first cooperative project between China and Costa Rica involving hydropower, it is also the first contract secured by POWERCHINA in Latin America through competitive bidding. The participating staff made active efforts to overcome the language barrier, cultural differences, as well as differences in standards and specifications. They strived to adapt to the local legal system, improve the localized management, enhance HSE management capabilities, properly handle contract management, and control all types of construction risks, thereby ensuring the orderly progress of construction and production. The first unit was installed in November 2015, and the installation of the second unit was completed in February 2016. Water-free debugging and acceptance of the two units were completed on May 30. In September, the impoundment target of the dam was completed.</v>
      </c>
      <c r="O20" s="6" t="str">
        <f ca="1">IFERROR(__xludf.DUMMYFUNCTION("""COMPUTED_VALUE"""),"N/A")</f>
        <v>N/A</v>
      </c>
      <c r="P20" s="12">
        <f ca="1">IFERROR(__xludf.DUMMYFUNCTION("""COMPUTED_VALUE"""),42651)</f>
        <v>42651</v>
      </c>
      <c r="Q20" s="6" t="str">
        <f ca="1">IFERROR(__xludf.DUMMYFUNCTION("""COMPUTED_VALUE"""),"Completed")</f>
        <v>Completed</v>
      </c>
      <c r="R20" s="6" t="str">
        <f ca="1">IFERROR(__xludf.DUMMYFUNCTION("""COMPUTED_VALUE"""),"PSH")</f>
        <v>PSH</v>
      </c>
      <c r="S20" s="9" t="str">
        <f ca="1">IFERROR(__xludf.DUMMYFUNCTION("""COMPUTED_VALUE"""),"https://gist.github.com/Remy2020/fafed65a7089d925cc7d6c2bccc6af4c")</f>
        <v>https://gist.github.com/Remy2020/fafed65a7089d925cc7d6c2bccc6af4c</v>
      </c>
      <c r="T20" s="6" t="str">
        <f ca="1">IFERROR(__xludf.DUMMYFUNCTION("""COMPUTED_VALUE"""),"BLOB")</f>
        <v>BLOB</v>
      </c>
      <c r="U20" s="6" t="str">
        <f ca="1">IFERROR(__xludf.DUMMYFUNCTION("""COMPUTED_VALUE"""),"Used the information from this source:  https://www.researchgate.net/publication/283344209_Model_studies_of_the_Chucas_hydroelectric_project and a graphic from this source: https://studfile.net/preview/8125529/page:7/. Followed using google maps")</f>
        <v>Used the information from this source:  https://www.researchgate.net/publication/283344209_Model_studies_of_the_Chucas_hydroelectric_project and a graphic from this source: https://studfile.net/preview/8125529/page:7/. Followed using google maps</v>
      </c>
      <c r="V20" s="6" t="str">
        <f ca="1">IFERROR(__xludf.DUMMYFUNCTION("""COMPUTED_VALUE"""),"Yes (Both)")</f>
        <v>Yes (Both)</v>
      </c>
      <c r="W20" s="6" t="str">
        <f ca="1">IFERROR(__xludf.DUMMYFUNCTION("""COMPUTED_VALUE"""),"Provincia San Jose")</f>
        <v>Provincia San Jose</v>
      </c>
      <c r="X20" s="6"/>
      <c r="Y20" s="6"/>
      <c r="Z20" s="6"/>
      <c r="AA20" s="6"/>
      <c r="AB20" s="6"/>
      <c r="AC20" s="6"/>
      <c r="AD20" s="6"/>
      <c r="AE20" s="6"/>
      <c r="AF20" s="6"/>
      <c r="AG20" s="6"/>
    </row>
    <row r="21" spans="1:33" ht="79.2" x14ac:dyDescent="0.25">
      <c r="A21" s="6">
        <f ca="1">IFERROR(__xludf.DUMMYFUNCTION("""COMPUTED_VALUE"""),20)</f>
        <v>20</v>
      </c>
      <c r="B21" s="10">
        <f ca="1">IFERROR(__xludf.DUMMYFUNCTION("""COMPUTED_VALUE"""),3)</f>
        <v>3</v>
      </c>
      <c r="C21" s="6" t="str">
        <f ca="1">IFERROR(__xludf.DUMMYFUNCTION("""COMPUTED_VALUE"""),"3G Network Project")</f>
        <v>3G Network Project</v>
      </c>
      <c r="D21" s="6" t="str">
        <f ca="1">IFERROR(__xludf.DUMMYFUNCTION("""COMPUTED_VALUE"""),"Other Institution")</f>
        <v>Other Institution</v>
      </c>
      <c r="E21" s="6" t="str">
        <f ca="1">IFERROR(__xludf.DUMMYFUNCTION("""COMPUTED_VALUE"""),"Central American Bank for Economic Development")</f>
        <v>Central American Bank for Economic Development</v>
      </c>
      <c r="F21" s="6" t="str">
        <f ca="1">IFERROR(__xludf.DUMMYFUNCTION("""COMPUTED_VALUE"""),"Huawei")</f>
        <v>Huawei</v>
      </c>
      <c r="G21" s="6">
        <f ca="1">IFERROR(__xludf.DUMMYFUNCTION("""COMPUTED_VALUE"""),4)</f>
        <v>4</v>
      </c>
      <c r="H21" s="6" t="str">
        <f ca="1">IFERROR(__xludf.DUMMYFUNCTION("""COMPUTED_VALUE"""),"Telecommunications")</f>
        <v>Telecommunications</v>
      </c>
      <c r="I21" s="6" t="str">
        <f ca="1">IFERROR(__xludf.DUMMYFUNCTION("""COMPUTED_VALUE"""),"Contract")</f>
        <v>Contract</v>
      </c>
      <c r="J21" s="7" t="str">
        <f ca="1">IFERROR(__xludf.DUMMYFUNCTION("""COMPUTED_VALUE"""),"$235,000,000 USD")</f>
        <v>$235,000,000 USD</v>
      </c>
      <c r="K21" s="6" t="str">
        <f ca="1">IFERROR(__xludf.DUMMYFUNCTION("""COMPUTED_VALUE"""),"CRI")</f>
        <v>CRI</v>
      </c>
      <c r="L21" s="6" t="str">
        <f ca="1">IFERROR(__xludf.DUMMYFUNCTION("""COMPUTED_VALUE"""),"Costa Rica")</f>
        <v>Costa Rica</v>
      </c>
      <c r="M21" s="6" t="str">
        <f ca="1">IFERROR(__xludf.DUMMYFUNCTION("""COMPUTED_VALUE"""),"Costa Rica (Country Wide)")</f>
        <v>Costa Rica (Country Wide)</v>
      </c>
      <c r="N21" s="6" t="str">
        <f ca="1">IFERROR(__xludf.DUMMYFUNCTION("""COMPUTED_VALUE"""),"China's Shenzhen-based Huawei Technologies Co won a $235 million contract with ICE to build a 3G network in Costa Rica in 2009. The project aims to provide telecommunications services for 935,000 customer, The 3G network, which will comprise 950,000 lines"&amp;" and will be financed 
by the Central American Bank for Economic Development (Cabei), is expected to be operational by the fourth quarter. Other companies provided better offers for LTE network coverage a few years later, and this project was phased out d"&amp;"espite the majority of Costa Ricans owning Huawei phones. ")</f>
        <v xml:space="preserve">China's Shenzhen-based Huawei Technologies Co won a $235 million contract with ICE to build a 3G network in Costa Rica in 2009. The project aims to provide telecommunications services for 935,000 customer, The 3G network, which will comprise 950,000 lines and will be financed 
by the Central American Bank for Economic Development (Cabei), is expected to be operational by the fourth quarter. Other companies provided better offers for LTE network coverage a few years later, and this project was phased out despite the majority of Costa Ricans owning Huawei phones. </v>
      </c>
      <c r="O21" s="6" t="str">
        <f ca="1">IFERROR(__xludf.DUMMYFUNCTION("""COMPUTED_VALUE"""),"00/00/2009")</f>
        <v>00/00/2009</v>
      </c>
      <c r="P21" s="6" t="str">
        <f ca="1">IFERROR(__xludf.DUMMYFUNCTION("""COMPUTED_VALUE"""),"N/A")</f>
        <v>N/A</v>
      </c>
      <c r="Q21" s="6" t="str">
        <f ca="1">IFERROR(__xludf.DUMMYFUNCTION("""COMPUTED_VALUE"""),"Completed")</f>
        <v>Completed</v>
      </c>
      <c r="R21" s="6" t="str">
        <f ca="1">IFERROR(__xludf.DUMMYFUNCTION("""COMPUTED_VALUE"""),"UNM")</f>
        <v>UNM</v>
      </c>
      <c r="S21" s="6" t="str">
        <f ca="1">IFERROR(__xludf.DUMMYFUNCTION("""COMPUTED_VALUE"""),"N/A")</f>
        <v>N/A</v>
      </c>
      <c r="T21" s="6" t="str">
        <f ca="1">IFERROR(__xludf.DUMMYFUNCTION("""COMPUTED_VALUE"""),"UNM")</f>
        <v>UNM</v>
      </c>
      <c r="U21" s="6" t="str">
        <f ca="1">IFERROR(__xludf.DUMMYFUNCTION("""COMPUTED_VALUE"""),"Unmappable")</f>
        <v>Unmappable</v>
      </c>
      <c r="V21" s="6" t="str">
        <f ca="1">IFERROR(__xludf.DUMMYFUNCTION("""COMPUTED_VALUE"""),"No")</f>
        <v>No</v>
      </c>
      <c r="W21" s="6" t="str">
        <f ca="1">IFERROR(__xludf.DUMMYFUNCTION("""COMPUTED_VALUE"""),"NA")</f>
        <v>NA</v>
      </c>
      <c r="X21" s="6" t="str">
        <f ca="1">IFERROR(__xludf.DUMMYFUNCTION("""COMPUTED_VALUE"""),"N/A")</f>
        <v>N/A</v>
      </c>
      <c r="Y21" s="6" t="str">
        <f ca="1">IFERROR(__xludf.DUMMYFUNCTION("""COMPUTED_VALUE"""),"N/A")</f>
        <v>N/A</v>
      </c>
      <c r="Z21" s="6" t="str">
        <f ca="1">IFERROR(__xludf.DUMMYFUNCTION("""COMPUTED_VALUE"""),"N/A")</f>
        <v>N/A</v>
      </c>
      <c r="AA21" s="6"/>
      <c r="AB21" s="6"/>
      <c r="AC21" s="6"/>
      <c r="AD21" s="6"/>
      <c r="AE21" s="6"/>
      <c r="AF21" s="6"/>
      <c r="AG21" s="6"/>
    </row>
    <row r="22" spans="1:33" ht="92.4" x14ac:dyDescent="0.25">
      <c r="A22" s="6">
        <f ca="1">IFERROR(__xludf.DUMMYFUNCTION("""COMPUTED_VALUE"""),21)</f>
        <v>21</v>
      </c>
      <c r="B22" s="10">
        <f ca="1">IFERROR(__xludf.DUMMYFUNCTION("""COMPUTED_VALUE"""),2)</f>
        <v>2</v>
      </c>
      <c r="C22" s="6" t="str">
        <f ca="1">IFERROR(__xludf.DUMMYFUNCTION("""COMPUTED_VALUE"""),"Oil Refinery ")</f>
        <v xml:space="preserve">Oil Refinery </v>
      </c>
      <c r="D22" s="6" t="str">
        <f ca="1">IFERROR(__xludf.DUMMYFUNCTION("""COMPUTED_VALUE"""),"CDB")</f>
        <v>CDB</v>
      </c>
      <c r="E22" s="6" t="str">
        <f ca="1">IFERROR(__xludf.DUMMYFUNCTION("""COMPUTED_VALUE"""),"CDB")</f>
        <v>CDB</v>
      </c>
      <c r="F22" s="6" t="str">
        <f ca="1">IFERROR(__xludf.DUMMYFUNCTION("""COMPUTED_VALUE"""),"Chinese-Costa Rican Reconstruction Corporation (Soresco), RECOPE and the China National Petroleum Corporation")</f>
        <v>Chinese-Costa Rican Reconstruction Corporation (Soresco), RECOPE and the China National Petroleum Corporation</v>
      </c>
      <c r="G22" s="6">
        <f ca="1">IFERROR(__xludf.DUMMYFUNCTION("""COMPUTED_VALUE"""),4)</f>
        <v>4</v>
      </c>
      <c r="H22" s="6" t="str">
        <f ca="1">IFERROR(__xludf.DUMMYFUNCTION("""COMPUTED_VALUE"""),"Energy - general, Refinery")</f>
        <v>Energy - general, Refinery</v>
      </c>
      <c r="I22" s="6" t="str">
        <f ca="1">IFERROR(__xludf.DUMMYFUNCTION("""COMPUTED_VALUE"""),"Contract")</f>
        <v>Contract</v>
      </c>
      <c r="J22" s="7" t="str">
        <f ca="1">IFERROR(__xludf.DUMMYFUNCTION("""COMPUTED_VALUE"""),"$1,200,000,000 USD")</f>
        <v>$1,200,000,000 USD</v>
      </c>
      <c r="K22" s="6" t="str">
        <f ca="1">IFERROR(__xludf.DUMMYFUNCTION("""COMPUTED_VALUE"""),"CRI")</f>
        <v>CRI</v>
      </c>
      <c r="L22" s="6" t="str">
        <f ca="1">IFERROR(__xludf.DUMMYFUNCTION("""COMPUTED_VALUE"""),"Costa Rica")</f>
        <v>Costa Rica</v>
      </c>
      <c r="M22" s="6" t="str">
        <f ca="1">IFERROR(__xludf.DUMMYFUNCTION("""COMPUTED_VALUE"""),"Moin, Limon, Costa Rica")</f>
        <v>Moin, Limon, Costa Rica</v>
      </c>
      <c r="N22" s="6" t="str">
        <f ca="1">IFERROR(__xludf.DUMMYFUNCTION("""COMPUTED_VALUE"""),"In 2013, the Comptroller General of Costa Rica highlighted a conflict of interest in the project’s feasibility studies given that they were undertaken by a subsidiary of the Chinese partner. The dispute arose in April 2016 when the Costa Rican Petroleum R"&amp;"efinery (Recope) Board of Directors decided to dissolve the Chinese-Costa Rican Reconstruction Corporation (Soresco), RECOPE and the China National Petroleum Corporation formed the 50-50 SORESCO partnership to build and finance the refinery. The Chinese D"&amp;"evelopment Bank agreed to loan $900 million of the $1.2 billion to Costa Rica for the project. RECOPE was supposed to be responsible for financing the remaining $300 million. This project has led to unresolved international arbitration. This refinery was "&amp;"also opposed greatly by the public as it goes directly against Costa Rica's zero carbon emission goal and environmental consciousness.")</f>
        <v>In 2013, the Comptroller General of Costa Rica highlighted a conflict of interest in the project’s feasibility studies given that they were undertaken by a subsidiary of the Chinese partner. The dispute arose in April 2016 when the Costa Rican Petroleum Refinery (Recope) Board of Directors decided to dissolve the Chinese-Costa Rican Reconstruction Corporation (Soresco), RECOPE and the China National Petroleum Corporation formed the 50-50 SORESCO partnership to build and finance the refinery. The Chinese Development Bank agreed to loan $900 million of the $1.2 billion to Costa Rica for the project. RECOPE was supposed to be responsible for financing the remaining $300 million. This project has led to unresolved international arbitration. This refinery was also opposed greatly by the public as it goes directly against Costa Rica's zero carbon emission goal and environmental consciousness.</v>
      </c>
      <c r="O22" s="6" t="str">
        <f ca="1">IFERROR(__xludf.DUMMYFUNCTION("""COMPUTED_VALUE"""),"00/00/2013")</f>
        <v>00/00/2013</v>
      </c>
      <c r="P22" s="6" t="str">
        <f ca="1">IFERROR(__xludf.DUMMYFUNCTION("""COMPUTED_VALUE"""),"N/A")</f>
        <v>N/A</v>
      </c>
      <c r="Q22" s="6" t="str">
        <f ca="1">IFERROR(__xludf.DUMMYFUNCTION("""COMPUTED_VALUE"""),"Cancelled")</f>
        <v>Cancelled</v>
      </c>
      <c r="R22" s="6" t="str">
        <f ca="1">IFERROR(__xludf.DUMMYFUNCTION("""COMPUTED_VALUE"""),"OILR")</f>
        <v>OILR</v>
      </c>
      <c r="S22" s="9" t="str">
        <f ca="1">IFERROR(__xludf.DUMMYFUNCTION("""COMPUTED_VALUE"""),"https://gist.github.com/mayadeutchman/cf24ccc5f7042c933ceff20167935863")</f>
        <v>https://gist.github.com/mayadeutchman/cf24ccc5f7042c933ceff20167935863</v>
      </c>
      <c r="T22" s="6" t="str">
        <f ca="1">IFERROR(__xludf.DUMMYFUNCTION("""COMPUTED_VALUE"""),"PPL")</f>
        <v>PPL</v>
      </c>
      <c r="U22" s="6" t="str">
        <f ca="1">IFERROR(__xludf.DUMMYFUNCTION("""COMPUTED_VALUE"""),"Coded up to Moin, a neighborhood in Limon Province. Looked at satellite imagery and followed google maps. ")</f>
        <v xml:space="preserve">Coded up to Moin, a neighborhood in Limon Province. Looked at satellite imagery and followed google maps. </v>
      </c>
      <c r="V22" s="6" t="str">
        <f ca="1">IFERROR(__xludf.DUMMYFUNCTION("""COMPUTED_VALUE"""),"Yes (Both)")</f>
        <v>Yes (Both)</v>
      </c>
      <c r="W22" s="6" t="str">
        <f ca="1">IFERROR(__xludf.DUMMYFUNCTION("""COMPUTED_VALUE"""),"Provincia Limon")</f>
        <v>Provincia Limon</v>
      </c>
      <c r="X22" s="6"/>
      <c r="Y22" s="6"/>
      <c r="Z22" s="6"/>
      <c r="AA22" s="6"/>
      <c r="AB22" s="6"/>
      <c r="AC22" s="6"/>
      <c r="AD22" s="6"/>
      <c r="AE22" s="6"/>
      <c r="AF22" s="6"/>
      <c r="AG22" s="6"/>
    </row>
    <row r="23" spans="1:33" ht="66" x14ac:dyDescent="0.25">
      <c r="A23" s="6">
        <f ca="1">IFERROR(__xludf.DUMMYFUNCTION("""COMPUTED_VALUE"""),22)</f>
        <v>22</v>
      </c>
      <c r="B23" s="10">
        <f ca="1">IFERROR(__xludf.DUMMYFUNCTION("""COMPUTED_VALUE"""),2)</f>
        <v>2</v>
      </c>
      <c r="C23" s="6" t="str">
        <f ca="1">IFERROR(__xludf.DUMMYFUNCTION("""COMPUTED_VALUE"""),"Security Donation")</f>
        <v>Security Donation</v>
      </c>
      <c r="D23" s="6" t="str">
        <f ca="1">IFERROR(__xludf.DUMMYFUNCTION("""COMPUTED_VALUE"""),"Other Chinese Institution")</f>
        <v>Other Chinese Institution</v>
      </c>
      <c r="E23" s="6" t="str">
        <f ca="1">IFERROR(__xludf.DUMMYFUNCTION("""COMPUTED_VALUE"""),"PRC")</f>
        <v>PRC</v>
      </c>
      <c r="F23" s="6" t="str">
        <f ca="1">IFERROR(__xludf.DUMMYFUNCTION("""COMPUTED_VALUE"""),"PRC")</f>
        <v>PRC</v>
      </c>
      <c r="G23" s="6">
        <f ca="1">IFERROR(__xludf.DUMMYFUNCTION("""COMPUTED_VALUE"""),2)</f>
        <v>2</v>
      </c>
      <c r="H23" s="6" t="str">
        <f ca="1">IFERROR(__xludf.DUMMYFUNCTION("""COMPUTED_VALUE"""),"Security")</f>
        <v>Security</v>
      </c>
      <c r="I23" s="6" t="str">
        <f ca="1">IFERROR(__xludf.DUMMYFUNCTION("""COMPUTED_VALUE"""),"Donation")</f>
        <v>Donation</v>
      </c>
      <c r="J23" s="7" t="str">
        <f ca="1">IFERROR(__xludf.DUMMYFUNCTION("""COMPUTED_VALUE"""),"$5,500,000 USD")</f>
        <v>$5,500,000 USD</v>
      </c>
      <c r="K23" s="6" t="str">
        <f ca="1">IFERROR(__xludf.DUMMYFUNCTION("""COMPUTED_VALUE"""),"CRI")</f>
        <v>CRI</v>
      </c>
      <c r="L23" s="6" t="str">
        <f ca="1">IFERROR(__xludf.DUMMYFUNCTION("""COMPUTED_VALUE"""),"Costa Rica")</f>
        <v>Costa Rica</v>
      </c>
      <c r="M23" s="6" t="str">
        <f ca="1">IFERROR(__xludf.DUMMYFUNCTION("""COMPUTED_VALUE"""),"N/A")</f>
        <v>N/A</v>
      </c>
      <c r="N23" s="6" t="str">
        <f ca="1">IFERROR(__xludf.DUMMYFUNCTION("""COMPUTED_VALUE"""),"The Minister of Public Security, Michael Soto, arranged a $5.5 million donation Costa Rica to be invested in security. 
“It is important to state that a Chinese technical team will be 
visiting the country in December with the purpose of running all their"&amp;" 
estimations and other aspects related to communication to try and 
materialize the delivery of equipment in the first semester of 2019”, stated Minister Soto in a press conference")</f>
        <v>The Minister of Public Security, Michael Soto, arranged a $5.5 million donation Costa Rica to be invested in security. 
“It is important to state that a Chinese technical team will be 
visiting the country in December with the purpose of running all their 
estimations and other aspects related to communication to try and 
materialize the delivery of equipment in the first semester of 2019”, stated Minister Soto in a press conference</v>
      </c>
      <c r="O23" s="6" t="str">
        <f ca="1">IFERROR(__xludf.DUMMYFUNCTION("""COMPUTED_VALUE"""),"00/00/2018")</f>
        <v>00/00/2018</v>
      </c>
      <c r="P23" s="6" t="str">
        <f ca="1">IFERROR(__xludf.DUMMYFUNCTION("""COMPUTED_VALUE"""),"12/00/2018")</f>
        <v>12/00/2018</v>
      </c>
      <c r="Q23" s="6" t="str">
        <f ca="1">IFERROR(__xludf.DUMMYFUNCTION("""COMPUTED_VALUE"""),"Completed")</f>
        <v>Completed</v>
      </c>
      <c r="R23" s="6" t="str">
        <f ca="1">IFERROR(__xludf.DUMMYFUNCTION("""COMPUTED_VALUE"""),"UNM")</f>
        <v>UNM</v>
      </c>
      <c r="S23" s="6" t="str">
        <f ca="1">IFERROR(__xludf.DUMMYFUNCTION("""COMPUTED_VALUE"""),"N/A")</f>
        <v>N/A</v>
      </c>
      <c r="T23" s="6" t="str">
        <f ca="1">IFERROR(__xludf.DUMMYFUNCTION("""COMPUTED_VALUE"""),"UNM")</f>
        <v>UNM</v>
      </c>
      <c r="U23" s="6" t="str">
        <f ca="1">IFERROR(__xludf.DUMMYFUNCTION("""COMPUTED_VALUE"""),"Unmappable")</f>
        <v>Unmappable</v>
      </c>
      <c r="V23" s="6" t="str">
        <f ca="1">IFERROR(__xludf.DUMMYFUNCTION("""COMPUTED_VALUE"""),"No")</f>
        <v>No</v>
      </c>
      <c r="W23" s="6" t="str">
        <f ca="1">IFERROR(__xludf.DUMMYFUNCTION("""COMPUTED_VALUE"""),"NA")</f>
        <v>NA</v>
      </c>
      <c r="X23" s="6" t="str">
        <f ca="1">IFERROR(__xludf.DUMMYFUNCTION("""COMPUTED_VALUE"""),"N/A")</f>
        <v>N/A</v>
      </c>
      <c r="Y23" s="6" t="str">
        <f ca="1">IFERROR(__xludf.DUMMYFUNCTION("""COMPUTED_VALUE"""),"N/A")</f>
        <v>N/A</v>
      </c>
      <c r="Z23" s="6" t="str">
        <f ca="1">IFERROR(__xludf.DUMMYFUNCTION("""COMPUTED_VALUE"""),"N/A")</f>
        <v>N/A</v>
      </c>
      <c r="AA23" s="6"/>
      <c r="AB23" s="6"/>
      <c r="AC23" s="6"/>
      <c r="AD23" s="6"/>
      <c r="AE23" s="6"/>
      <c r="AF23" s="6"/>
      <c r="AG23" s="6"/>
    </row>
    <row r="24" spans="1:33" ht="39.6" x14ac:dyDescent="0.25">
      <c r="A24" s="6">
        <f ca="1">IFERROR(__xludf.DUMMYFUNCTION("""COMPUTED_VALUE"""),23)</f>
        <v>23</v>
      </c>
      <c r="B24" s="10">
        <f ca="1">IFERROR(__xludf.DUMMYFUNCTION("""COMPUTED_VALUE"""),2)</f>
        <v>2</v>
      </c>
      <c r="C24" s="6" t="str">
        <f ca="1">IFERROR(__xludf.DUMMYFUNCTION("""COMPUTED_VALUE"""),"Replacing of Public Transportation Vehicles")</f>
        <v>Replacing of Public Transportation Vehicles</v>
      </c>
      <c r="D24" s="6" t="str">
        <f ca="1">IFERROR(__xludf.DUMMYFUNCTION("""COMPUTED_VALUE"""),"CHEXIM")</f>
        <v>CHEXIM</v>
      </c>
      <c r="E24" s="6" t="str">
        <f ca="1">IFERROR(__xludf.DUMMYFUNCTION("""COMPUTED_VALUE"""),"CHEXIM")</f>
        <v>CHEXIM</v>
      </c>
      <c r="F24" s="6" t="str">
        <f ca="1">IFERROR(__xludf.DUMMYFUNCTION("""COMPUTED_VALUE"""),"N/A")</f>
        <v>N/A</v>
      </c>
      <c r="G24" s="6">
        <f ca="1">IFERROR(__xludf.DUMMYFUNCTION("""COMPUTED_VALUE"""),5)</f>
        <v>5</v>
      </c>
      <c r="H24" s="6" t="str">
        <f ca="1">IFERROR(__xludf.DUMMYFUNCTION("""COMPUTED_VALUE"""),"Transportation - general")</f>
        <v>Transportation - general</v>
      </c>
      <c r="I24" s="6" t="str">
        <f ca="1">IFERROR(__xludf.DUMMYFUNCTION("""COMPUTED_VALUE"""),"Loan")</f>
        <v>Loan</v>
      </c>
      <c r="J24" s="7" t="str">
        <f ca="1">IFERROR(__xludf.DUMMYFUNCTION("""COMPUTED_VALUE"""),"$101,000,000 USD")</f>
        <v>$101,000,000 USD</v>
      </c>
      <c r="K24" s="6" t="str">
        <f ca="1">IFERROR(__xludf.DUMMYFUNCTION("""COMPUTED_VALUE"""),"CRI")</f>
        <v>CRI</v>
      </c>
      <c r="L24" s="6" t="str">
        <f ca="1">IFERROR(__xludf.DUMMYFUNCTION("""COMPUTED_VALUE"""),"Costa Rica")</f>
        <v>Costa Rica</v>
      </c>
      <c r="M24" s="6" t="str">
        <f ca="1">IFERROR(__xludf.DUMMYFUNCTION("""COMPUTED_VALUE"""),"Country Wide")</f>
        <v>Country Wide</v>
      </c>
      <c r="N24" s="6" t="str">
        <f ca="1">IFERROR(__xludf.DUMMYFUNCTION("""COMPUTED_VALUE"""),"Part of the $400 million dollar loan that is paying for the construction of Route 32, this loan is to be used to replace 16,000 public transport vehicles across Costa Rica *Subproject of he Route 32 Expansion project.")</f>
        <v>Part of the $400 million dollar loan that is paying for the construction of Route 32, this loan is to be used to replace 16,000 public transport vehicles across Costa Rica *Subproject of he Route 32 Expansion project.</v>
      </c>
      <c r="O24" s="12">
        <f ca="1">IFERROR(__xludf.DUMMYFUNCTION("""COMPUTED_VALUE"""),41428)</f>
        <v>41428</v>
      </c>
      <c r="P24" s="6" t="str">
        <f ca="1">IFERROR(__xludf.DUMMYFUNCTION("""COMPUTED_VALUE"""),"N/A")</f>
        <v>N/A</v>
      </c>
      <c r="Q24" s="6" t="str">
        <f ca="1">IFERROR(__xludf.DUMMYFUNCTION("""COMPUTED_VALUE"""),"Completed")</f>
        <v>Completed</v>
      </c>
      <c r="R24" s="6" t="str">
        <f ca="1">IFERROR(__xludf.DUMMYFUNCTION("""COMPUTED_VALUE"""),"UNM")</f>
        <v>UNM</v>
      </c>
      <c r="S24" s="6" t="str">
        <f ca="1">IFERROR(__xludf.DUMMYFUNCTION("""COMPUTED_VALUE"""),"N/A")</f>
        <v>N/A</v>
      </c>
      <c r="T24" s="6" t="str">
        <f ca="1">IFERROR(__xludf.DUMMYFUNCTION("""COMPUTED_VALUE"""),"UNM")</f>
        <v>UNM</v>
      </c>
      <c r="U24" s="6" t="str">
        <f ca="1">IFERROR(__xludf.DUMMYFUNCTION("""COMPUTED_VALUE"""),"Unmappable")</f>
        <v>Unmappable</v>
      </c>
      <c r="V24" s="6" t="str">
        <f ca="1">IFERROR(__xludf.DUMMYFUNCTION("""COMPUTED_VALUE"""),"No")</f>
        <v>No</v>
      </c>
      <c r="W24" s="6" t="str">
        <f ca="1">IFERROR(__xludf.DUMMYFUNCTION("""COMPUTED_VALUE"""),"NA")</f>
        <v>NA</v>
      </c>
      <c r="X24" s="6" t="str">
        <f ca="1">IFERROR(__xludf.DUMMYFUNCTION("""COMPUTED_VALUE"""),"N/A")</f>
        <v>N/A</v>
      </c>
      <c r="Y24" s="6" t="str">
        <f ca="1">IFERROR(__xludf.DUMMYFUNCTION("""COMPUTED_VALUE"""),"N/A")</f>
        <v>N/A</v>
      </c>
      <c r="Z24" s="6" t="str">
        <f ca="1">IFERROR(__xludf.DUMMYFUNCTION("""COMPUTED_VALUE"""),"N/A")</f>
        <v>N/A</v>
      </c>
      <c r="AA24" s="6"/>
      <c r="AB24" s="6"/>
      <c r="AC24" s="6"/>
      <c r="AD24" s="6"/>
      <c r="AE24" s="6"/>
      <c r="AF24" s="6"/>
      <c r="AG24" s="6"/>
    </row>
    <row r="25" spans="1:33" ht="66" x14ac:dyDescent="0.25">
      <c r="A25" s="6">
        <f ca="1">IFERROR(__xludf.DUMMYFUNCTION("""COMPUTED_VALUE"""),24)</f>
        <v>24</v>
      </c>
      <c r="B25" s="10">
        <f ca="1">IFERROR(__xludf.DUMMYFUNCTION("""COMPUTED_VALUE"""),2)</f>
        <v>2</v>
      </c>
      <c r="C25" s="6" t="str">
        <f ca="1">IFERROR(__xludf.DUMMYFUNCTION("""COMPUTED_VALUE"""),"Purchasing of Electric Trains")</f>
        <v>Purchasing of Electric Trains</v>
      </c>
      <c r="D25" s="6" t="str">
        <f ca="1">IFERROR(__xludf.DUMMYFUNCTION("""COMPUTED_VALUE"""),"Other Institution")</f>
        <v>Other Institution</v>
      </c>
      <c r="E25" s="6" t="str">
        <f ca="1">IFERROR(__xludf.DUMMYFUNCTION("""COMPUTED_VALUE"""),"Govt of Costa Rica")</f>
        <v>Govt of Costa Rica</v>
      </c>
      <c r="F25" s="6" t="str">
        <f ca="1">IFERROR(__xludf.DUMMYFUNCTION("""COMPUTED_VALUE"""),"CRRC Quingdao Sifang Co. Ltd")</f>
        <v>CRRC Quingdao Sifang Co. Ltd</v>
      </c>
      <c r="G25" s="6">
        <f ca="1">IFERROR(__xludf.DUMMYFUNCTION("""COMPUTED_VALUE"""),2)</f>
        <v>2</v>
      </c>
      <c r="H25" s="6" t="str">
        <f ca="1">IFERROR(__xludf.DUMMYFUNCTION("""COMPUTED_VALUE"""),"Rail")</f>
        <v>Rail</v>
      </c>
      <c r="I25" s="6" t="str">
        <f ca="1">IFERROR(__xludf.DUMMYFUNCTION("""COMPUTED_VALUE"""),"Purchase")</f>
        <v>Purchase</v>
      </c>
      <c r="J25" s="7" t="str">
        <f ca="1">IFERROR(__xludf.DUMMYFUNCTION("""COMPUTED_VALUE"""),"$32,700,000 USD")</f>
        <v>$32,700,000 USD</v>
      </c>
      <c r="K25" s="6" t="str">
        <f ca="1">IFERROR(__xludf.DUMMYFUNCTION("""COMPUTED_VALUE"""),"CRI")</f>
        <v>CRI</v>
      </c>
      <c r="L25" s="6" t="str">
        <f ca="1">IFERROR(__xludf.DUMMYFUNCTION("""COMPUTED_VALUE"""),"Costa Rica")</f>
        <v>Costa Rica</v>
      </c>
      <c r="M25" s="6" t="str">
        <f ca="1">IFERROR(__xludf.DUMMYFUNCTION("""COMPUTED_VALUE"""),"Non-specified location")</f>
        <v>Non-specified location</v>
      </c>
      <c r="N25" s="6" t="str">
        <f ca="1">IFERROR(__xludf.DUMMYFUNCTION("""COMPUTED_VALUE"""),"The Costa Rican Railroad Institute (INCOFER) announced that it will buy eight new trains from CRRC Quingdao Sifang Co. Ltd, a Chinese company dedicated to researching, developing and manufacturing railway locomotives and rolling stock products., The annou"&amp;"ncement, made Dec. 3, detailed that each 38-meter train consist of two Diesel Multiple Units (DMUs) —train cars with onboard diesel engines— and can hold 372 passengers. The project includes maintenance equipment, workshops, spare parts, and training for "&amp;"employees.")</f>
        <v>The Costa Rican Railroad Institute (INCOFER) announced that it will buy eight new trains from CRRC Quingdao Sifang Co. Ltd, a Chinese company dedicated to researching, developing and manufacturing railway locomotives and rolling stock products., The announcement, made Dec. 3, detailed that each 38-meter train consist of two Diesel Multiple Units (DMUs) —train cars with onboard diesel engines— and can hold 372 passengers. The project includes maintenance equipment, workshops, spare parts, and training for employees.</v>
      </c>
      <c r="O25" s="12">
        <f ca="1">IFERROR(__xludf.DUMMYFUNCTION("""COMPUTED_VALUE"""),43437)</f>
        <v>43437</v>
      </c>
      <c r="P25" s="6" t="str">
        <f ca="1">IFERROR(__xludf.DUMMYFUNCTION("""COMPUTED_VALUE"""),"06/00/2020")</f>
        <v>06/00/2020</v>
      </c>
      <c r="Q25" s="6" t="str">
        <f ca="1">IFERROR(__xludf.DUMMYFUNCTION("""COMPUTED_VALUE"""),"In Progress - non-construction ")</f>
        <v xml:space="preserve">In Progress - non-construction </v>
      </c>
      <c r="R25" s="6" t="str">
        <f ca="1">IFERROR(__xludf.DUMMYFUNCTION("""COMPUTED_VALUE"""),"UNM")</f>
        <v>UNM</v>
      </c>
      <c r="S25" s="6" t="str">
        <f ca="1">IFERROR(__xludf.DUMMYFUNCTION("""COMPUTED_VALUE"""),"N/A")</f>
        <v>N/A</v>
      </c>
      <c r="T25" s="6" t="str">
        <f ca="1">IFERROR(__xludf.DUMMYFUNCTION("""COMPUTED_VALUE"""),"UNM")</f>
        <v>UNM</v>
      </c>
      <c r="U25" s="6" t="str">
        <f ca="1">IFERROR(__xludf.DUMMYFUNCTION("""COMPUTED_VALUE"""),"Unmappable")</f>
        <v>Unmappable</v>
      </c>
      <c r="V25" s="6" t="str">
        <f ca="1">IFERROR(__xludf.DUMMYFUNCTION("""COMPUTED_VALUE"""),"No")</f>
        <v>No</v>
      </c>
      <c r="W25" s="6" t="str">
        <f ca="1">IFERROR(__xludf.DUMMYFUNCTION("""COMPUTED_VALUE"""),"NA")</f>
        <v>NA</v>
      </c>
      <c r="X25" s="6" t="str">
        <f ca="1">IFERROR(__xludf.DUMMYFUNCTION("""COMPUTED_VALUE"""),"N/A")</f>
        <v>N/A</v>
      </c>
      <c r="Y25" s="6" t="str">
        <f ca="1">IFERROR(__xludf.DUMMYFUNCTION("""COMPUTED_VALUE"""),"N/A")</f>
        <v>N/A</v>
      </c>
      <c r="Z25" s="6" t="str">
        <f ca="1">IFERROR(__xludf.DUMMYFUNCTION("""COMPUTED_VALUE"""),"N/A")</f>
        <v>N/A</v>
      </c>
      <c r="AA25" s="6"/>
      <c r="AB25" s="6"/>
      <c r="AC25" s="6"/>
      <c r="AD25" s="6"/>
      <c r="AE25" s="6"/>
      <c r="AF25" s="6"/>
      <c r="AG25" s="6"/>
    </row>
    <row r="26" spans="1:33" ht="52.8" x14ac:dyDescent="0.25">
      <c r="A26" s="6">
        <f ca="1">IFERROR(__xludf.DUMMYFUNCTION("""COMPUTED_VALUE"""),25)</f>
        <v>25</v>
      </c>
      <c r="B26" s="10">
        <f ca="1">IFERROR(__xludf.DUMMYFUNCTION("""COMPUTED_VALUE"""),2)</f>
        <v>2</v>
      </c>
      <c r="C26" s="6" t="str">
        <f ca="1">IFERROR(__xludf.DUMMYFUNCTION("""COMPUTED_VALUE"""),"Purchasing of Solar Panels / Solar Farm")</f>
        <v>Purchasing of Solar Panels / Solar Farm</v>
      </c>
      <c r="D26" s="6" t="str">
        <f ca="1">IFERROR(__xludf.DUMMYFUNCTION("""COMPUTED_VALUE"""),"Other Institution")</f>
        <v>Other Institution</v>
      </c>
      <c r="E26" s="6" t="str">
        <f ca="1">IFERROR(__xludf.DUMMYFUNCTION("""COMPUTED_VALUE"""),"Govt of Costa Rica")</f>
        <v>Govt of Costa Rica</v>
      </c>
      <c r="F26" s="6" t="str">
        <f ca="1">IFERROR(__xludf.DUMMYFUNCTION("""COMPUTED_VALUE"""),"N/A")</f>
        <v>N/A</v>
      </c>
      <c r="G26" s="6">
        <f ca="1">IFERROR(__xludf.DUMMYFUNCTION("""COMPUTED_VALUE"""),4)</f>
        <v>4</v>
      </c>
      <c r="H26" s="6" t="str">
        <f ca="1">IFERROR(__xludf.DUMMYFUNCTION("""COMPUTED_VALUE"""),"Energy - sustainable")</f>
        <v>Energy - sustainable</v>
      </c>
      <c r="I26" s="6" t="str">
        <f ca="1">IFERROR(__xludf.DUMMYFUNCTION("""COMPUTED_VALUE"""),"Purchase")</f>
        <v>Purchase</v>
      </c>
      <c r="J26" s="7" t="str">
        <f ca="1">IFERROR(__xludf.DUMMYFUNCTION("""COMPUTED_VALUE"""),"$30,000,000 USD")</f>
        <v>$30,000,000 USD</v>
      </c>
      <c r="K26" s="6" t="str">
        <f ca="1">IFERROR(__xludf.DUMMYFUNCTION("""COMPUTED_VALUE"""),"CRI")</f>
        <v>CRI</v>
      </c>
      <c r="L26" s="6" t="str">
        <f ca="1">IFERROR(__xludf.DUMMYFUNCTION("""COMPUTED_VALUE"""),"Costa Rica")</f>
        <v>Costa Rica</v>
      </c>
      <c r="M26" s="6" t="str">
        <f ca="1">IFERROR(__xludf.DUMMYFUNCTION("""COMPUTED_VALUE"""),"Country Wide")</f>
        <v>Country Wide</v>
      </c>
      <c r="N26" s="6" t="str">
        <f ca="1">IFERROR(__xludf.DUMMYFUNCTION("""COMPUTED_VALUE"""),"The president of China, Xi Jinping and the President of Costa Rica, Laura Chinchilla signed an agreement for a $30 million financing to buy 50.000 solar panels. Once the solar panels are installed, 28.000 families will take advantage of them and the count"&amp;"ry will complete 100% of electrical coverage in homes. One part of the panels will be used also to install a solar plant of 10 MW, enough to supply a small city as Ciudad Quesada or Cañas, needing almost 30 hectares for the solar farm.")</f>
        <v>The president of China, Xi Jinping and the President of Costa Rica, Laura Chinchilla signed an agreement for a $30 million financing to buy 50.000 solar panels. Once the solar panels are installed, 28.000 families will take advantage of them and the country will complete 100% of electrical coverage in homes. One part of the panels will be used also to install a solar plant of 10 MW, enough to supply a small city as Ciudad Quesada or Cañas, needing almost 30 hectares for the solar farm.</v>
      </c>
      <c r="O26" s="6" t="str">
        <f ca="1">IFERROR(__xludf.DUMMYFUNCTION("""COMPUTED_VALUE"""),"N/A")</f>
        <v>N/A</v>
      </c>
      <c r="P26" s="6" t="str">
        <f ca="1">IFERROR(__xludf.DUMMYFUNCTION("""COMPUTED_VALUE"""),"06/00/2013")</f>
        <v>06/00/2013</v>
      </c>
      <c r="Q26" s="6" t="str">
        <f ca="1">IFERROR(__xludf.DUMMYFUNCTION("""COMPUTED_VALUE"""),"Completed")</f>
        <v>Completed</v>
      </c>
      <c r="R26" s="6" t="str">
        <f ca="1">IFERROR(__xludf.DUMMYFUNCTION("""COMPUTED_VALUE"""),"UNM")</f>
        <v>UNM</v>
      </c>
      <c r="S26" s="6" t="str">
        <f ca="1">IFERROR(__xludf.DUMMYFUNCTION("""COMPUTED_VALUE"""),"N/A")</f>
        <v>N/A</v>
      </c>
      <c r="T26" s="6" t="str">
        <f ca="1">IFERROR(__xludf.DUMMYFUNCTION("""COMPUTED_VALUE"""),"UNM")</f>
        <v>UNM</v>
      </c>
      <c r="U26" s="6" t="str">
        <f ca="1">IFERROR(__xludf.DUMMYFUNCTION("""COMPUTED_VALUE"""),"Unmappable")</f>
        <v>Unmappable</v>
      </c>
      <c r="V26" s="6" t="str">
        <f ca="1">IFERROR(__xludf.DUMMYFUNCTION("""COMPUTED_VALUE"""),"No")</f>
        <v>No</v>
      </c>
      <c r="W26" s="6" t="str">
        <f ca="1">IFERROR(__xludf.DUMMYFUNCTION("""COMPUTED_VALUE"""),"NA")</f>
        <v>NA</v>
      </c>
      <c r="X26" s="6" t="str">
        <f ca="1">IFERROR(__xludf.DUMMYFUNCTION("""COMPUTED_VALUE"""),"N/A")</f>
        <v>N/A</v>
      </c>
      <c r="Y26" s="6" t="str">
        <f ca="1">IFERROR(__xludf.DUMMYFUNCTION("""COMPUTED_VALUE"""),"N/A")</f>
        <v>N/A</v>
      </c>
      <c r="Z26" s="6" t="str">
        <f ca="1">IFERROR(__xludf.DUMMYFUNCTION("""COMPUTED_VALUE"""),"N/A")</f>
        <v>N/A</v>
      </c>
      <c r="AA26" s="6"/>
      <c r="AB26" s="6"/>
      <c r="AC26" s="6"/>
      <c r="AD26" s="6"/>
      <c r="AE26" s="6"/>
      <c r="AF26" s="6"/>
      <c r="AG26" s="6"/>
    </row>
    <row r="27" spans="1:33" ht="52.8" x14ac:dyDescent="0.25">
      <c r="A27" s="6">
        <f ca="1">IFERROR(__xludf.DUMMYFUNCTION("""COMPUTED_VALUE"""),26)</f>
        <v>26</v>
      </c>
      <c r="B27" s="10">
        <f ca="1">IFERROR(__xludf.DUMMYFUNCTION("""COMPUTED_VALUE"""),1)</f>
        <v>1</v>
      </c>
      <c r="C27" s="6" t="str">
        <f ca="1">IFERROR(__xludf.DUMMYFUNCTION("""COMPUTED_VALUE"""),"Municipal Project Donation")</f>
        <v>Municipal Project Donation</v>
      </c>
      <c r="D27" s="6" t="str">
        <f ca="1">IFERROR(__xludf.DUMMYFUNCTION("""COMPUTED_VALUE"""),"Other Chinese Institution")</f>
        <v>Other Chinese Institution</v>
      </c>
      <c r="E27" s="6" t="str">
        <f ca="1">IFERROR(__xludf.DUMMYFUNCTION("""COMPUTED_VALUE"""),"PRC")</f>
        <v>PRC</v>
      </c>
      <c r="F27" s="6" t="str">
        <f ca="1">IFERROR(__xludf.DUMMYFUNCTION("""COMPUTED_VALUE"""),"N/A")</f>
        <v>N/A</v>
      </c>
      <c r="G27" s="6">
        <f ca="1">IFERROR(__xludf.DUMMYFUNCTION("""COMPUTED_VALUE"""),5)</f>
        <v>5</v>
      </c>
      <c r="H27" s="6" t="str">
        <f ca="1">IFERROR(__xludf.DUMMYFUNCTION("""COMPUTED_VALUE"""),"Public Infrastructure")</f>
        <v>Public Infrastructure</v>
      </c>
      <c r="I27" s="6" t="str">
        <f ca="1">IFERROR(__xludf.DUMMYFUNCTION("""COMPUTED_VALUE"""),"Donation")</f>
        <v>Donation</v>
      </c>
      <c r="J27" s="7" t="str">
        <f ca="1">IFERROR(__xludf.DUMMYFUNCTION("""COMPUTED_VALUE"""),"$50,000,000 USD")</f>
        <v>$50,000,000 USD</v>
      </c>
      <c r="K27" s="6" t="str">
        <f ca="1">IFERROR(__xludf.DUMMYFUNCTION("""COMPUTED_VALUE"""),"CRI")</f>
        <v>CRI</v>
      </c>
      <c r="L27" s="6" t="str">
        <f ca="1">IFERROR(__xludf.DUMMYFUNCTION("""COMPUTED_VALUE"""),"Costa Rica")</f>
        <v>Costa Rica</v>
      </c>
      <c r="M27" s="6" t="str">
        <f ca="1">IFERROR(__xludf.DUMMYFUNCTION("""COMPUTED_VALUE"""),"Non-specified location")</f>
        <v>Non-specified location</v>
      </c>
      <c r="N27" s="6" t="str">
        <f ca="1">IFERROR(__xludf.DUMMYFUNCTION("""COMPUTED_VALUE"""),"The money will go toward supporting programs of the Institute for Municipal Development (IFAM), a public entity funded by the central government to give support to the country’s 81 municipalities,  $50 million to Costa Rica for municipal improvement proje"&amp;"cts such as road repairs, schools and other public works. Part of the financial package that resulted from Costa Rica recognizing China instead of Taiwan. ")</f>
        <v xml:space="preserve">The money will go toward supporting programs of the Institute for Municipal Development (IFAM), a public entity funded by the central government to give support to the country’s 81 municipalities,  $50 million to Costa Rica for municipal improvement projects such as road repairs, schools and other public works. Part of the financial package that resulted from Costa Rica recognizing China instead of Taiwan. </v>
      </c>
      <c r="O27" s="6" t="str">
        <f ca="1">IFERROR(__xludf.DUMMYFUNCTION("""COMPUTED_VALUE"""),"N/A")</f>
        <v>N/A</v>
      </c>
      <c r="P27" s="6" t="str">
        <f ca="1">IFERROR(__xludf.DUMMYFUNCTION("""COMPUTED_VALUE"""),"00/00/2008")</f>
        <v>00/00/2008</v>
      </c>
      <c r="Q27" s="6" t="str">
        <f ca="1">IFERROR(__xludf.DUMMYFUNCTION("""COMPUTED_VALUE"""),"Completed")</f>
        <v>Completed</v>
      </c>
      <c r="R27" s="6" t="str">
        <f ca="1">IFERROR(__xludf.DUMMYFUNCTION("""COMPUTED_VALUE"""),"UNM")</f>
        <v>UNM</v>
      </c>
      <c r="S27" s="6" t="str">
        <f ca="1">IFERROR(__xludf.DUMMYFUNCTION("""COMPUTED_VALUE"""),"N/A")</f>
        <v>N/A</v>
      </c>
      <c r="T27" s="6" t="str">
        <f ca="1">IFERROR(__xludf.DUMMYFUNCTION("""COMPUTED_VALUE"""),"UNM")</f>
        <v>UNM</v>
      </c>
      <c r="U27" s="6" t="str">
        <f ca="1">IFERROR(__xludf.DUMMYFUNCTION("""COMPUTED_VALUE"""),"Unmappable")</f>
        <v>Unmappable</v>
      </c>
      <c r="V27" s="6" t="str">
        <f ca="1">IFERROR(__xludf.DUMMYFUNCTION("""COMPUTED_VALUE"""),"No")</f>
        <v>No</v>
      </c>
      <c r="W27" s="6" t="str">
        <f ca="1">IFERROR(__xludf.DUMMYFUNCTION("""COMPUTED_VALUE"""),"NA")</f>
        <v>NA</v>
      </c>
      <c r="X27" s="6" t="str">
        <f ca="1">IFERROR(__xludf.DUMMYFUNCTION("""COMPUTED_VALUE"""),"N/A")</f>
        <v>N/A</v>
      </c>
      <c r="Y27" s="6" t="str">
        <f ca="1">IFERROR(__xludf.DUMMYFUNCTION("""COMPUTED_VALUE"""),"N/A")</f>
        <v>N/A</v>
      </c>
      <c r="Z27" s="6" t="str">
        <f ca="1">IFERROR(__xludf.DUMMYFUNCTION("""COMPUTED_VALUE"""),"N/A")</f>
        <v>N/A</v>
      </c>
      <c r="AA27" s="6"/>
      <c r="AB27" s="6"/>
      <c r="AC27" s="6"/>
      <c r="AD27" s="6"/>
      <c r="AE27" s="6"/>
      <c r="AF27" s="6"/>
      <c r="AG27" s="6"/>
    </row>
    <row r="28" spans="1:33" ht="52.8" x14ac:dyDescent="0.25">
      <c r="A28" s="6">
        <f ca="1">IFERROR(__xludf.DUMMYFUNCTION("""COMPUTED_VALUE"""),27)</f>
        <v>27</v>
      </c>
      <c r="B28" s="10">
        <f ca="1">IFERROR(__xludf.DUMMYFUNCTION("""COMPUTED_VALUE"""),2)</f>
        <v>2</v>
      </c>
      <c r="C28" s="6" t="str">
        <f ca="1">IFERROR(__xludf.DUMMYFUNCTION("""COMPUTED_VALUE"""),"China Purchasing Bonds")</f>
        <v>China Purchasing Bonds</v>
      </c>
      <c r="D28" s="6" t="str">
        <f ca="1">IFERROR(__xludf.DUMMYFUNCTION("""COMPUTED_VALUE"""),"Other Chinese Institution")</f>
        <v>Other Chinese Institution</v>
      </c>
      <c r="E28" s="6" t="str">
        <f ca="1">IFERROR(__xludf.DUMMYFUNCTION("""COMPUTED_VALUE"""),"PRC")</f>
        <v>PRC</v>
      </c>
      <c r="F28" s="6" t="str">
        <f ca="1">IFERROR(__xludf.DUMMYFUNCTION("""COMPUTED_VALUE"""),"PRC")</f>
        <v>PRC</v>
      </c>
      <c r="G28" s="6">
        <f ca="1">IFERROR(__xludf.DUMMYFUNCTION("""COMPUTED_VALUE"""),5)</f>
        <v>5</v>
      </c>
      <c r="H28" s="6" t="str">
        <f ca="1">IFERROR(__xludf.DUMMYFUNCTION("""COMPUTED_VALUE"""),"General")</f>
        <v>General</v>
      </c>
      <c r="I28" s="6" t="str">
        <f ca="1">IFERROR(__xludf.DUMMYFUNCTION("""COMPUTED_VALUE"""),"Purchase")</f>
        <v>Purchase</v>
      </c>
      <c r="J28" s="7" t="str">
        <f ca="1">IFERROR(__xludf.DUMMYFUNCTION("""COMPUTED_VALUE"""),"$300,000,000 USD")</f>
        <v>$300,000,000 USD</v>
      </c>
      <c r="K28" s="6" t="str">
        <f ca="1">IFERROR(__xludf.DUMMYFUNCTION("""COMPUTED_VALUE"""),"CRI")</f>
        <v>CRI</v>
      </c>
      <c r="L28" s="6" t="str">
        <f ca="1">IFERROR(__xludf.DUMMYFUNCTION("""COMPUTED_VALUE"""),"Costa Rica")</f>
        <v>Costa Rica</v>
      </c>
      <c r="M28" s="6" t="str">
        <f ca="1">IFERROR(__xludf.DUMMYFUNCTION("""COMPUTED_VALUE"""),"N/A")</f>
        <v>N/A</v>
      </c>
      <c r="N28" s="6" t="str">
        <f ca="1">IFERROR(__xludf.DUMMYFUNCTION("""COMPUTED_VALUE"""),"As part of an incentive package to persuade Costa Rica to shift its diplomatic recognition from Taiwan to China, China agreed to buy $300 million of Costa Rican bonds.The terms of the agreement were meant to be kept secret, according to La Nación, a Costa"&amp;" Rican newspaper, but the government was forced by the constitutional court to publish the memorandum of understanding signed by both countries, as well as other documents. The court considered the information to be in the public’s interest.")</f>
        <v>As part of an incentive package to persuade Costa Rica to shift its diplomatic recognition from Taiwan to China, China agreed to buy $300 million of Costa Rican bonds.The terms of the agreement were meant to be kept secret, according to La Nación, a Costa Rican newspaper, but the government was forced by the constitutional court to publish the memorandum of understanding signed by both countries, as well as other documents. The court considered the information to be in the public’s interest.</v>
      </c>
      <c r="O28" s="6" t="str">
        <f ca="1">IFERROR(__xludf.DUMMYFUNCTION("""COMPUTED_VALUE"""),"00/00/2008")</f>
        <v>00/00/2008</v>
      </c>
      <c r="P28" s="6" t="str">
        <f ca="1">IFERROR(__xludf.DUMMYFUNCTION("""COMPUTED_VALUE"""),"00/00/2009")</f>
        <v>00/00/2009</v>
      </c>
      <c r="Q28" s="6" t="str">
        <f ca="1">IFERROR(__xludf.DUMMYFUNCTION("""COMPUTED_VALUE"""),"Completed")</f>
        <v>Completed</v>
      </c>
      <c r="R28" s="6" t="str">
        <f ca="1">IFERROR(__xludf.DUMMYFUNCTION("""COMPUTED_VALUE"""),"UNM")</f>
        <v>UNM</v>
      </c>
      <c r="S28" s="6" t="str">
        <f ca="1">IFERROR(__xludf.DUMMYFUNCTION("""COMPUTED_VALUE"""),"N/A")</f>
        <v>N/A</v>
      </c>
      <c r="T28" s="6" t="str">
        <f ca="1">IFERROR(__xludf.DUMMYFUNCTION("""COMPUTED_VALUE"""),"UNM")</f>
        <v>UNM</v>
      </c>
      <c r="U28" s="6" t="str">
        <f ca="1">IFERROR(__xludf.DUMMYFUNCTION("""COMPUTED_VALUE"""),"Unmappable")</f>
        <v>Unmappable</v>
      </c>
      <c r="V28" s="6" t="str">
        <f ca="1">IFERROR(__xludf.DUMMYFUNCTION("""COMPUTED_VALUE"""),"No")</f>
        <v>No</v>
      </c>
      <c r="W28" s="6" t="str">
        <f ca="1">IFERROR(__xludf.DUMMYFUNCTION("""COMPUTED_VALUE"""),"NA")</f>
        <v>NA</v>
      </c>
      <c r="X28" s="6" t="str">
        <f ca="1">IFERROR(__xludf.DUMMYFUNCTION("""COMPUTED_VALUE"""),"N/A")</f>
        <v>N/A</v>
      </c>
      <c r="Y28" s="6" t="str">
        <f ca="1">IFERROR(__xludf.DUMMYFUNCTION("""COMPUTED_VALUE"""),"N/A")</f>
        <v>N/A</v>
      </c>
      <c r="Z28" s="6" t="str">
        <f ca="1">IFERROR(__xludf.DUMMYFUNCTION("""COMPUTED_VALUE"""),"N/A")</f>
        <v>N/A</v>
      </c>
      <c r="AA28" s="6"/>
      <c r="AB28" s="6"/>
      <c r="AC28" s="6"/>
      <c r="AD28" s="6"/>
      <c r="AE28" s="6"/>
      <c r="AF28" s="6"/>
      <c r="AG28" s="6"/>
    </row>
    <row r="29" spans="1:33" ht="145.19999999999999" x14ac:dyDescent="0.25">
      <c r="A29" s="6">
        <f ca="1">IFERROR(__xludf.DUMMYFUNCTION("""COMPUTED_VALUE"""),28)</f>
        <v>28</v>
      </c>
      <c r="B29" s="10">
        <f ca="1">IFERROR(__xludf.DUMMYFUNCTION("""COMPUTED_VALUE"""),6)</f>
        <v>6</v>
      </c>
      <c r="C29" s="6" t="str">
        <f ca="1">IFERROR(__xludf.DUMMYFUNCTION("""COMPUTED_VALUE"""),"Nicaragua Interoceanic Grand Canal")</f>
        <v>Nicaragua Interoceanic Grand Canal</v>
      </c>
      <c r="D29" s="6" t="str">
        <f ca="1">IFERROR(__xludf.DUMMYFUNCTION("""COMPUTED_VALUE"""),"Other Chinese Institution")</f>
        <v>Other Chinese Institution</v>
      </c>
      <c r="E29" s="6" t="str">
        <f ca="1">IFERROR(__xludf.DUMMYFUNCTION("""COMPUTED_VALUE"""),"Wang Jing")</f>
        <v>Wang Jing</v>
      </c>
      <c r="F29" s="6" t="str">
        <f ca="1">IFERROR(__xludf.DUMMYFUNCTION("""COMPUTED_VALUE"""),"Hong Kong Nicaragua Canal Development Group")</f>
        <v>Hong Kong Nicaragua Canal Development Group</v>
      </c>
      <c r="G29" s="6">
        <f ca="1">IFERROR(__xludf.DUMMYFUNCTION("""COMPUTED_VALUE"""),10)</f>
        <v>10</v>
      </c>
      <c r="H29" s="6" t="str">
        <f ca="1">IFERROR(__xludf.DUMMYFUNCTION("""COMPUTED_VALUE"""),"Canal")</f>
        <v>Canal</v>
      </c>
      <c r="I29" s="6" t="str">
        <f ca="1">IFERROR(__xludf.DUMMYFUNCTION("""COMPUTED_VALUE"""),"Contract")</f>
        <v>Contract</v>
      </c>
      <c r="J29" s="6" t="str">
        <f ca="1">IFERROR(__xludf.DUMMYFUNCTION("""COMPUTED_VALUE"""),"$50,000,000,000 USD")</f>
        <v>$50,000,000,000 USD</v>
      </c>
      <c r="K29" s="6" t="str">
        <f ca="1">IFERROR(__xludf.DUMMYFUNCTION("""COMPUTED_VALUE"""),"NIC")</f>
        <v>NIC</v>
      </c>
      <c r="L29" s="6" t="str">
        <f ca="1">IFERROR(__xludf.DUMMYFUNCTION("""COMPUTED_VALUE"""),"Nicaragua")</f>
        <v>Nicaragua</v>
      </c>
      <c r="M29" s="6" t="str">
        <f ca="1">IFERROR(__xludf.DUMMYFUNCTION("""COMPUTED_VALUE"""),"Starting at Punta Brito, Nicaragua and ending in Punto Gorda, Nicaragua across Lake Nicaragua")</f>
        <v>Starting at Punta Brito, Nicaragua and ending in Punto Gorda, Nicaragua across Lake Nicaragua</v>
      </c>
      <c r="N29" s="6" t="str">
        <f ca="1">IFERROR(__xludf.DUMMYFUNCTION("""COMPUTED_VALUE"""),"The Nicaragua Interoceanic Grand Canal was intended to stretch from Punta Brito across Lake Nicaragua and end in Punto Gorda. Thus, it would run nearly 276 km and connect the Pacific Ocean to the Caribbean Sea. Can find route here: https://www.researchgat"&amp;"e.net/figure/A-proposed-canal-route-for-the-Interoceanic-Canal-through-Nicaragua-The-canal-would_fig2_303782537. This canal was planned to be about twice the depth of the Panama canal and was celebrated for the economic prosperity it promised Nicaraguans."&amp;" Taken up by Wang Jing, who has ties to the CCP, and his company the Hong Kong Nicaragua Canal Development Group, the canal was estimated to cost about 50 billion USD and its planned completion date was in 2020. However, since the contract between Nicarag"&amp;"uan President Daniel Ortega and Mr. Wang Jing was set on June 13, 2013, little work has been completed on the canal and Wang Jing has removed himself from the project. President Ortega still promises devotion to the canal's construction. (Money laundering"&amp;" and property attainment along the canal route have been questioned in President Ortega's commitment to the project). This is not a BRI project because Nicaragua has diplomatic ties with Taiwan, not the PRC, and therefore has not joined the BRI.")</f>
        <v>The Nicaragua Interoceanic Grand Canal was intended to stretch from Punta Brito across Lake Nicaragua and end in Punto Gorda. Thus, it would run nearly 276 km and connect the Pacific Ocean to the Caribbean Sea. Can find route here: https://www.researchgate.net/figure/A-proposed-canal-route-for-the-Interoceanic-Canal-through-Nicaragua-The-canal-would_fig2_303782537. This canal was planned to be about twice the depth of the Panama canal and was celebrated for the economic prosperity it promised Nicaraguans. Taken up by Wang Jing, who has ties to the CCP, and his company the Hong Kong Nicaragua Canal Development Group, the canal was estimated to cost about 50 billion USD and its planned completion date was in 2020. However, since the contract between Nicaraguan President Daniel Ortega and Mr. Wang Jing was set on June 13, 2013, little work has been completed on the canal and Wang Jing has removed himself from the project. President Ortega still promises devotion to the canal's construction. (Money laundering and property attainment along the canal route have been questioned in President Ortega's commitment to the project). This is not a BRI project because Nicaragua has diplomatic ties with Taiwan, not the PRC, and therefore has not joined the BRI.</v>
      </c>
      <c r="O29" s="12">
        <f ca="1">IFERROR(__xludf.DUMMYFUNCTION("""COMPUTED_VALUE"""),41438)</f>
        <v>41438</v>
      </c>
      <c r="P29" s="6" t="str">
        <f ca="1">IFERROR(__xludf.DUMMYFUNCTION("""COMPUTED_VALUE"""),"N/A")</f>
        <v>N/A</v>
      </c>
      <c r="Q29" s="6" t="str">
        <f ca="1">IFERROR(__xludf.DUMMYFUNCTION("""COMPUTED_VALUE"""),"Cancelled")</f>
        <v>Cancelled</v>
      </c>
      <c r="R29" s="6" t="str">
        <f ca="1">IFERROR(__xludf.DUMMYFUNCTION("""COMPUTED_VALUE"""),"CNL")</f>
        <v>CNL</v>
      </c>
      <c r="S29" s="6" t="str">
        <f ca="1">IFERROR(__xludf.DUMMYFUNCTION("""COMPUTED_VALUE"""),"NIC_ADM0_2_0_1_0")</f>
        <v>NIC_ADM0_2_0_1_0</v>
      </c>
      <c r="T29" s="6" t="str">
        <f ca="1">IFERROR(__xludf.DUMMYFUNCTION("""COMPUTED_VALUE"""),"PCLI")</f>
        <v>PCLI</v>
      </c>
      <c r="U29" s="6" t="str">
        <f ca="1">IFERROR(__xludf.DUMMYFUNCTION("""COMPUTED_VALUE"""),"Geocoded up to the country level")</f>
        <v>Geocoded up to the country level</v>
      </c>
      <c r="V29" s="6" t="str">
        <f ca="1">IFERROR(__xludf.DUMMYFUNCTION("""COMPUTED_VALUE"""),"No")</f>
        <v>No</v>
      </c>
      <c r="W29" s="6" t="str">
        <f ca="1">IFERROR(__xludf.DUMMYFUNCTION("""COMPUTED_VALUE"""),"NA")</f>
        <v>NA</v>
      </c>
      <c r="X29" s="6" t="str">
        <f ca="1">IFERROR(__xludf.DUMMYFUNCTION("""COMPUTED_VALUE"""),"N/A")</f>
        <v>N/A</v>
      </c>
      <c r="Y29" s="6" t="str">
        <f ca="1">IFERROR(__xludf.DUMMYFUNCTION("""COMPUTED_VALUE"""),"N/A")</f>
        <v>N/A</v>
      </c>
      <c r="Z29" s="6" t="str">
        <f ca="1">IFERROR(__xludf.DUMMYFUNCTION("""COMPUTED_VALUE"""),"N/A")</f>
        <v>N/A</v>
      </c>
      <c r="AA29" s="6"/>
      <c r="AB29" s="6"/>
      <c r="AC29" s="6"/>
      <c r="AD29" s="6"/>
      <c r="AE29" s="6"/>
      <c r="AF29" s="6"/>
      <c r="AG29" s="6"/>
    </row>
    <row r="30" spans="1:33" ht="66" x14ac:dyDescent="0.25">
      <c r="A30" s="6">
        <f ca="1">IFERROR(__xludf.DUMMYFUNCTION("""COMPUTED_VALUE"""),29)</f>
        <v>29</v>
      </c>
      <c r="B30" s="10">
        <f ca="1">IFERROR(__xludf.DUMMYFUNCTION("""COMPUTED_VALUE"""),3)</f>
        <v>3</v>
      </c>
      <c r="C30" s="6" t="str">
        <f ca="1">IFERROR(__xludf.DUMMYFUNCTION("""COMPUTED_VALUE"""),"Havana/Santiago Railway")</f>
        <v>Havana/Santiago Railway</v>
      </c>
      <c r="D30" s="6" t="str">
        <f ca="1">IFERROR(__xludf.DUMMYFUNCTION("""COMPUTED_VALUE"""),"Other Institution")</f>
        <v>Other Institution</v>
      </c>
      <c r="E30" s="6" t="str">
        <f ca="1">IFERROR(__xludf.DUMMYFUNCTION("""COMPUTED_VALUE"""),"Govt of Cuba")</f>
        <v>Govt of Cuba</v>
      </c>
      <c r="F30" s="6" t="str">
        <f ca="1">IFERROR(__xludf.DUMMYFUNCTION("""COMPUTED_VALUE"""),"China National Machinery Import and Export Corporation (CMC) and the CRRC Tangshan Co")</f>
        <v>China National Machinery Import and Export Corporation (CMC) and the CRRC Tangshan Co</v>
      </c>
      <c r="G30" s="6">
        <f ca="1">IFERROR(__xludf.DUMMYFUNCTION("""COMPUTED_VALUE"""),2)</f>
        <v>2</v>
      </c>
      <c r="H30" s="6" t="str">
        <f ca="1">IFERROR(__xludf.DUMMYFUNCTION("""COMPUTED_VALUE"""),"Rail")</f>
        <v>Rail</v>
      </c>
      <c r="I30" s="6" t="str">
        <f ca="1">IFERROR(__xludf.DUMMYFUNCTION("""COMPUTED_VALUE"""),"Loan")</f>
        <v>Loan</v>
      </c>
      <c r="J30" s="6" t="str">
        <f ca="1">IFERROR(__xludf.DUMMYFUNCTION("""COMPUTED_VALUE"""),"N/A")</f>
        <v>N/A</v>
      </c>
      <c r="K30" s="6" t="str">
        <f ca="1">IFERROR(__xludf.DUMMYFUNCTION("""COMPUTED_VALUE"""),"CUB")</f>
        <v>CUB</v>
      </c>
      <c r="L30" s="6" t="str">
        <f ca="1">IFERROR(__xludf.DUMMYFUNCTION("""COMPUTED_VALUE"""),"Cuba")</f>
        <v>Cuba</v>
      </c>
      <c r="M30" s="6" t="str">
        <f ca="1">IFERROR(__xludf.DUMMYFUNCTION("""COMPUTED_VALUE"""),"Train moving from Havana, Cuba to Santiago, Cuba. La Coubre train station")</f>
        <v>Train moving from Havana, Cuba to Santiago, Cuba. La Coubre train station</v>
      </c>
      <c r="N30" s="6" t="str">
        <f ca="1">IFERROR(__xludf.DUMMYFUNCTION("""COMPUTED_VALUE"""),"In May 2019, Cuba received the first 56 railcars out of 240 purchased with Chinese credit (payable in 15 years). The cars will arrive in Havana, Cuba at a rate of 80 railcars a year from 2019 to 2021. Railcars have been manufactured by CMC and CRRC specif"&amp;"ically for the improvement of Cuban infrastructure.")</f>
        <v>In May 2019, Cuba received the first 56 railcars out of 240 purchased with Chinese credit (payable in 15 years). The cars will arrive in Havana, Cuba at a rate of 80 railcars a year from 2019 to 2021. Railcars have been manufactured by CMC and CRRC specifically for the improvement of Cuban infrastructure.</v>
      </c>
      <c r="O30" s="12">
        <f ca="1">IFERROR(__xludf.DUMMYFUNCTION("""COMPUTED_VALUE"""),43586)</f>
        <v>43586</v>
      </c>
      <c r="P30" s="6" t="str">
        <f ca="1">IFERROR(__xludf.DUMMYFUNCTION("""COMPUTED_VALUE"""),"N/A")</f>
        <v>N/A</v>
      </c>
      <c r="Q30" s="6" t="str">
        <f ca="1">IFERROR(__xludf.DUMMYFUNCTION("""COMPUTED_VALUE"""),"In Progress - non-construction ")</f>
        <v xml:space="preserve">In Progress - non-construction </v>
      </c>
      <c r="R30" s="6" t="str">
        <f ca="1">IFERROR(__xludf.DUMMYFUNCTION("""COMPUTED_VALUE"""),"RSTN")</f>
        <v>RSTN</v>
      </c>
      <c r="S30" s="9" t="str">
        <f ca="1">IFERROR(__xludf.DUMMYFUNCTION("""COMPUTED_VALUE"""),"https://gist.github.com/Remy2020/f66d821015be48331cfb950db99f169f")</f>
        <v>https://gist.github.com/Remy2020/f66d821015be48331cfb950db99f169f</v>
      </c>
      <c r="T30" s="6" t="str">
        <f ca="1">IFERROR(__xludf.DUMMYFUNCTION("""COMPUTED_VALUE"""),"BLOB")</f>
        <v>BLOB</v>
      </c>
      <c r="U30" s="6" t="str">
        <f ca="1">IFERROR(__xludf.DUMMYFUNCTION("""COMPUTED_VALUE"""),"Used satellite imagery and followed google maps")</f>
        <v>Used satellite imagery and followed google maps</v>
      </c>
      <c r="V30" s="6" t="str">
        <f ca="1">IFERROR(__xludf.DUMMYFUNCTION("""COMPUTED_VALUE"""),"Yes (Both)")</f>
        <v>Yes (Both)</v>
      </c>
      <c r="W30" s="6" t="str">
        <f ca="1">IFERROR(__xludf.DUMMYFUNCTION("""COMPUTED_VALUE"""),"Havana")</f>
        <v>Havana</v>
      </c>
      <c r="X30" s="6" t="str">
        <f ca="1">IFERROR(__xludf.DUMMYFUNCTION("""COMPUTED_VALUE"""),"05/01/2018,
06/26/2019,
08/30/2019")</f>
        <v>05/01/2018,
06/26/2019,
08/30/2019</v>
      </c>
      <c r="Y30" s="6" t="str">
        <f ca="1">IFERROR(__xludf.DUMMYFUNCTION("""COMPUTED_VALUE"""),"N/A")</f>
        <v>N/A</v>
      </c>
      <c r="Z30" s="6" t="str">
        <f ca="1">IFERROR(__xludf.DUMMYFUNCTION("""COMPUTED_VALUE"""),"LAT: 23°07'36.4""N | LON: 82°21'16.0""W")</f>
        <v>LAT: 23°07'36.4"N | LON: 82°21'16.0"W</v>
      </c>
      <c r="AA30" s="6"/>
      <c r="AB30" s="6"/>
      <c r="AC30" s="6"/>
      <c r="AD30" s="6"/>
      <c r="AE30" s="6"/>
      <c r="AF30" s="6"/>
      <c r="AG30" s="6"/>
    </row>
    <row r="31" spans="1:33" ht="52.8" x14ac:dyDescent="0.25">
      <c r="A31" s="6">
        <f ca="1">IFERROR(__xludf.DUMMYFUNCTION("""COMPUTED_VALUE"""),30)</f>
        <v>30</v>
      </c>
      <c r="B31" s="10">
        <f ca="1">IFERROR(__xludf.DUMMYFUNCTION("""COMPUTED_VALUE"""),3)</f>
        <v>3</v>
      </c>
      <c r="C31" s="6" t="str">
        <f ca="1">IFERROR(__xludf.DUMMYFUNCTION("""COMPUTED_VALUE"""),"Energy loan for improvement")</f>
        <v>Energy loan for improvement</v>
      </c>
      <c r="D31" s="6" t="str">
        <f ca="1">IFERROR(__xludf.DUMMYFUNCTION("""COMPUTED_VALUE"""),"CHEXIM")</f>
        <v>CHEXIM</v>
      </c>
      <c r="E31" s="6" t="str">
        <f ca="1">IFERROR(__xludf.DUMMYFUNCTION("""COMPUTED_VALUE"""),"CHEXIM")</f>
        <v>CHEXIM</v>
      </c>
      <c r="F31" s="6" t="str">
        <f ca="1">IFERROR(__xludf.DUMMYFUNCTION("""COMPUTED_VALUE"""),"N/A")</f>
        <v>N/A</v>
      </c>
      <c r="G31" s="6">
        <f ca="1">IFERROR(__xludf.DUMMYFUNCTION("""COMPUTED_VALUE"""),1.1)</f>
        <v>1.1000000000000001</v>
      </c>
      <c r="H31" s="6" t="str">
        <f ca="1">IFERROR(__xludf.DUMMYFUNCTION("""COMPUTED_VALUE"""),"Energy - general")</f>
        <v>Energy - general</v>
      </c>
      <c r="I31" s="6" t="str">
        <f ca="1">IFERROR(__xludf.DUMMYFUNCTION("""COMPUTED_VALUE"""),"Loan")</f>
        <v>Loan</v>
      </c>
      <c r="J31" s="7" t="str">
        <f ca="1">IFERROR(__xludf.DUMMYFUNCTION("""COMPUTED_VALUE"""),"$600,000,000 USD")</f>
        <v>$600,000,000 USD</v>
      </c>
      <c r="K31" s="6" t="str">
        <f ca="1">IFERROR(__xludf.DUMMYFUNCTION("""COMPUTED_VALUE"""),"DOM")</f>
        <v>DOM</v>
      </c>
      <c r="L31" s="6" t="str">
        <f ca="1">IFERROR(__xludf.DUMMYFUNCTION("""COMPUTED_VALUE"""),"Dominican Republic")</f>
        <v>Dominican Republic</v>
      </c>
      <c r="M31" s="6" t="str">
        <f ca="1">IFERROR(__xludf.DUMMYFUNCTION("""COMPUTED_VALUE"""),"nationwide")</f>
        <v>nationwide</v>
      </c>
      <c r="N31" s="6" t="str">
        <f ca="1">IFERROR(__xludf.DUMMYFUNCTION("""COMPUTED_VALUE"""),"CHEXIM issued a $600M loan at a 2-3% interest rate to the Dominican Republic to finance power transmissions and improve energy distribution systems. This loan comes in addition to a formed commission to increase trade and investment between the two countr"&amp;"ies. The Dominican finance industry made agreements with CHEXIM and CDB to receive long-term loans for trade, foreign investments, and infrastructure projects. This long-term agreement comes after the Dominican Republic ended its relationship with Taiwan.")</f>
        <v>CHEXIM issued a $600M loan at a 2-3% interest rate to the Dominican Republic to finance power transmissions and improve energy distribution systems. This loan comes in addition to a formed commission to increase trade and investment between the two countries. The Dominican finance industry made agreements with CHEXIM and CDB to receive long-term loans for trade, foreign investments, and infrastructure projects. This long-term agreement comes after the Dominican Republic ended its relationship with Taiwan.</v>
      </c>
      <c r="O31" s="12">
        <f ca="1">IFERROR(__xludf.DUMMYFUNCTION("""COMPUTED_VALUE"""),43409)</f>
        <v>43409</v>
      </c>
      <c r="P31" s="6" t="str">
        <f ca="1">IFERROR(__xludf.DUMMYFUNCTION("""COMPUTED_VALUE"""),"N/A")</f>
        <v>N/A</v>
      </c>
      <c r="Q31" s="6" t="str">
        <f ca="1">IFERROR(__xludf.DUMMYFUNCTION("""COMPUTED_VALUE"""),"Completed")</f>
        <v>Completed</v>
      </c>
      <c r="R31" s="6" t="str">
        <f ca="1">IFERROR(__xludf.DUMMYFUNCTION("""COMPUTED_VALUE"""),"UNM")</f>
        <v>UNM</v>
      </c>
      <c r="S31" s="6" t="str">
        <f ca="1">IFERROR(__xludf.DUMMYFUNCTION("""COMPUTED_VALUE"""),"N/A")</f>
        <v>N/A</v>
      </c>
      <c r="T31" s="6" t="str">
        <f ca="1">IFERROR(__xludf.DUMMYFUNCTION("""COMPUTED_VALUE"""),"UNM")</f>
        <v>UNM</v>
      </c>
      <c r="U31" s="6" t="str">
        <f ca="1">IFERROR(__xludf.DUMMYFUNCTION("""COMPUTED_VALUE"""),"Unmappable")</f>
        <v>Unmappable</v>
      </c>
      <c r="V31" s="6" t="str">
        <f ca="1">IFERROR(__xludf.DUMMYFUNCTION("""COMPUTED_VALUE"""),"No")</f>
        <v>No</v>
      </c>
      <c r="W31" s="6" t="str">
        <f ca="1">IFERROR(__xludf.DUMMYFUNCTION("""COMPUTED_VALUE"""),"NA")</f>
        <v>NA</v>
      </c>
      <c r="X31" s="6" t="str">
        <f ca="1">IFERROR(__xludf.DUMMYFUNCTION("""COMPUTED_VALUE"""),"N/A")</f>
        <v>N/A</v>
      </c>
      <c r="Y31" s="6" t="str">
        <f ca="1">IFERROR(__xludf.DUMMYFUNCTION("""COMPUTED_VALUE"""),"N/A")</f>
        <v>N/A</v>
      </c>
      <c r="Z31" s="6" t="str">
        <f ca="1">IFERROR(__xludf.DUMMYFUNCTION("""COMPUTED_VALUE"""),"N/A")</f>
        <v>N/A</v>
      </c>
      <c r="AA31" s="6"/>
      <c r="AB31" s="6"/>
      <c r="AC31" s="6"/>
      <c r="AD31" s="6"/>
      <c r="AE31" s="6"/>
      <c r="AF31" s="6"/>
      <c r="AG31" s="6"/>
    </row>
    <row r="32" spans="1:33" ht="92.4" x14ac:dyDescent="0.25">
      <c r="A32" s="6">
        <f ca="1">IFERROR(__xludf.DUMMYFUNCTION("""COMPUTED_VALUE"""),32)</f>
        <v>32</v>
      </c>
      <c r="B32" s="10">
        <f ca="1">IFERROR(__xludf.DUMMYFUNCTION("""COMPUTED_VALUE"""),2)</f>
        <v>2</v>
      </c>
      <c r="C32" s="6" t="str">
        <f ca="1">IFERROR(__xludf.DUMMYFUNCTION("""COMPUTED_VALUE"""),"Oil Refinery ")</f>
        <v xml:space="preserve">Oil Refinery </v>
      </c>
      <c r="D32" s="6" t="str">
        <f ca="1">IFERROR(__xludf.DUMMYFUNCTION("""COMPUTED_VALUE"""),"Other Chinese Institution")</f>
        <v>Other Chinese Institution</v>
      </c>
      <c r="E32" s="6" t="str">
        <f ca="1">IFERROR(__xludf.DUMMYFUNCTION("""COMPUTED_VALUE"""),"Kingtom Aluminio")</f>
        <v>Kingtom Aluminio</v>
      </c>
      <c r="F32" s="6" t="str">
        <f ca="1">IFERROR(__xludf.DUMMYFUNCTION("""COMPUTED_VALUE"""),"Kingtom Aluminio")</f>
        <v>Kingtom Aluminio</v>
      </c>
      <c r="G32" s="6">
        <f ca="1">IFERROR(__xludf.DUMMYFUNCTION("""COMPUTED_VALUE"""),1.1)</f>
        <v>1.1000000000000001</v>
      </c>
      <c r="H32" s="6" t="str">
        <f ca="1">IFERROR(__xludf.DUMMYFUNCTION("""COMPUTED_VALUE"""),"Manufacturing / Production")</f>
        <v>Manufacturing / Production</v>
      </c>
      <c r="I32" s="6" t="str">
        <f ca="1">IFERROR(__xludf.DUMMYFUNCTION("""COMPUTED_VALUE"""),"Investment")</f>
        <v>Investment</v>
      </c>
      <c r="J32" s="7" t="str">
        <f ca="1">IFERROR(__xludf.DUMMYFUNCTION("""COMPUTED_VALUE"""),"$10,700,000 USD")</f>
        <v>$10,700,000 USD</v>
      </c>
      <c r="K32" s="6" t="str">
        <f ca="1">IFERROR(__xludf.DUMMYFUNCTION("""COMPUTED_VALUE"""),"DOM")</f>
        <v>DOM</v>
      </c>
      <c r="L32" s="6" t="str">
        <f ca="1">IFERROR(__xludf.DUMMYFUNCTION("""COMPUTED_VALUE"""),"Dominican Republic")</f>
        <v>Dominican Republic</v>
      </c>
      <c r="M32" s="6" t="str">
        <f ca="1">IFERROR(__xludf.DUMMYFUNCTION("""COMPUTED_VALUE"""),"San Antonio de Guerra")</f>
        <v>San Antonio de Guerra</v>
      </c>
      <c r="N32" s="6" t="str">
        <f ca="1">IFERROR(__xludf.DUMMYFUNCTION("""COMPUTED_VALUE"""),"Prior to the Dominican Republic's split with Taiwan, Kingtom Aluminio SLR was the first Chinese-owned company in the DR.  This aluminum factory is reported to have created 400 direct and 1,000 indirect jobs in the DR.")</f>
        <v>Prior to the Dominican Republic's split with Taiwan, Kingtom Aluminio SLR was the first Chinese-owned company in the DR.  This aluminum factory is reported to have created 400 direct and 1,000 indirect jobs in the DR.</v>
      </c>
      <c r="O32" s="6" t="str">
        <f ca="1">IFERROR(__xludf.DUMMYFUNCTION("""COMPUTED_VALUE"""),"N/A")</f>
        <v>N/A</v>
      </c>
      <c r="P32" s="12">
        <f ca="1">IFERROR(__xludf.DUMMYFUNCTION("""COMPUTED_VALUE"""),43200)</f>
        <v>43200</v>
      </c>
      <c r="Q32" s="6" t="str">
        <f ca="1">IFERROR(__xludf.DUMMYFUNCTION("""COMPUTED_VALUE"""),"Completed")</f>
        <v>Completed</v>
      </c>
      <c r="R32" s="6" t="str">
        <f ca="1">IFERROR(__xludf.DUMMYFUNCTION("""COMPUTED_VALUE"""),"MFG")</f>
        <v>MFG</v>
      </c>
      <c r="S32" s="9" t="str">
        <f ca="1">IFERROR(__xludf.DUMMYFUNCTION("""COMPUTED_VALUE"""),"https://gist.github.com/Remy2020/a62bde985737744a4de10db114412db8")</f>
        <v>https://gist.github.com/Remy2020/a62bde985737744a4de10db114412db8</v>
      </c>
      <c r="T32" s="6" t="str">
        <f ca="1">IFERROR(__xludf.DUMMYFUNCTION("""COMPUTED_VALUE"""),"BLOB")</f>
        <v>BLOB</v>
      </c>
      <c r="U32" s="6" t="str">
        <f ca="1">IFERROR(__xludf.DUMMYFUNCTION("""COMPUTED_VALUE"""),"Used satellite images and followed google maps")</f>
        <v>Used satellite images and followed google maps</v>
      </c>
      <c r="V32" s="6" t="str">
        <f ca="1">IFERROR(__xludf.DUMMYFUNCTION("""COMPUTED_VALUE"""),"Yes (Both)")</f>
        <v>Yes (Both)</v>
      </c>
      <c r="W32" s="6" t="str">
        <f ca="1">IFERROR(__xludf.DUMMYFUNCTION("""COMPUTED_VALUE"""),"Santo Domingo")</f>
        <v>Santo Domingo</v>
      </c>
      <c r="X32" s="6" t="str">
        <f ca="1">IFERROR(__xludf.DUMMYFUNCTION("""COMPUTED_VALUE"""),"09/05/2017,
06/17/2018,
08/08/2018,
02/23/2019,
10/09/2019")</f>
        <v>09/05/2017,
06/17/2018,
08/08/2018,
02/23/2019,
10/09/2019</v>
      </c>
      <c r="Y32" s="6" t="str">
        <f ca="1">IFERROR(__xludf.DUMMYFUNCTION("""COMPUTED_VALUE"""),"We are looking at the construction/expansion of an Aluminium Factory- the first Chinese business in the Dominican Republic.
In the images we see the plot of land expand as well as the addition of multiple new facilities")</f>
        <v>We are looking at the construction/expansion of an Aluminium Factory- the first Chinese business in the Dominican Republic.
In the images we see the plot of land expand as well as the addition of multiple new facilities</v>
      </c>
      <c r="Z32" s="6"/>
      <c r="AA32" s="6"/>
      <c r="AB32" s="6"/>
      <c r="AC32" s="6"/>
      <c r="AD32" s="6"/>
      <c r="AE32" s="6"/>
      <c r="AF32" s="6"/>
      <c r="AG32" s="6"/>
    </row>
    <row r="33" spans="1:33" ht="52.8" x14ac:dyDescent="0.25">
      <c r="A33" s="6">
        <f ca="1">IFERROR(__xludf.DUMMYFUNCTION("""COMPUTED_VALUE"""),33)</f>
        <v>33</v>
      </c>
      <c r="B33" s="10">
        <f ca="1">IFERROR(__xludf.DUMMYFUNCTION("""COMPUTED_VALUE"""),3)</f>
        <v>3</v>
      </c>
      <c r="C33" s="6" t="str">
        <f ca="1">IFERROR(__xludf.DUMMYFUNCTION("""COMPUTED_VALUE"""),"Manufacturing/ Production Plant")</f>
        <v>Manufacturing/ Production Plant</v>
      </c>
      <c r="D33" s="6" t="str">
        <f ca="1">IFERROR(__xludf.DUMMYFUNCTION("""COMPUTED_VALUE"""),"Other Chinese Institution")</f>
        <v>Other Chinese Institution</v>
      </c>
      <c r="E33" s="6" t="str">
        <f ca="1">IFERROR(__xludf.DUMMYFUNCTION("""COMPUTED_VALUE"""),"HAYCO Group")</f>
        <v>HAYCO Group</v>
      </c>
      <c r="F33" s="6" t="str">
        <f ca="1">IFERROR(__xludf.DUMMYFUNCTION("""COMPUTED_VALUE"""),"HAYCO Group")</f>
        <v>HAYCO Group</v>
      </c>
      <c r="G33" s="6">
        <f ca="1">IFERROR(__xludf.DUMMYFUNCTION("""COMPUTED_VALUE"""),3)</f>
        <v>3</v>
      </c>
      <c r="H33" s="6" t="str">
        <f ca="1">IFERROR(__xludf.DUMMYFUNCTION("""COMPUTED_VALUE"""),"Manufacturing / Production")</f>
        <v>Manufacturing / Production</v>
      </c>
      <c r="I33" s="6" t="str">
        <f ca="1">IFERROR(__xludf.DUMMYFUNCTION("""COMPUTED_VALUE"""),"Investment")</f>
        <v>Investment</v>
      </c>
      <c r="J33" s="6" t="str">
        <f ca="1">IFERROR(__xludf.DUMMYFUNCTION("""COMPUTED_VALUE"""),"$60,000,000 USD ")</f>
        <v xml:space="preserve">$60,000,000 USD </v>
      </c>
      <c r="K33" s="6" t="str">
        <f ca="1">IFERROR(__xludf.DUMMYFUNCTION("""COMPUTED_VALUE"""),"DOM")</f>
        <v>DOM</v>
      </c>
      <c r="L33" s="6" t="str">
        <f ca="1">IFERROR(__xludf.DUMMYFUNCTION("""COMPUTED_VALUE"""),"Dominican Republic")</f>
        <v>Dominican Republic</v>
      </c>
      <c r="M33" s="6" t="str">
        <f ca="1">IFERROR(__xludf.DUMMYFUNCTION("""COMPUTED_VALUE"""),"Zona Franca Industrial Las Américas park in Santo Domingo")</f>
        <v>Zona Franca Industrial Las Américas park in Santo Domingo</v>
      </c>
      <c r="N33" s="6" t="str">
        <f ca="1">IFERROR(__xludf.DUMMYFUNCTION("""COMPUTED_VALUE"""),"This plant manufactures various products for multinational companies such as Procter &amp; Gamble.  It has created about 1,000 jobs and and it will most prominently produce plastic-injection-molded components and finished consumer goods. The HAYCO Group is ad"&amp;"ditionally planning for an adjacent facility to be constructed by 2022. ")</f>
        <v xml:space="preserve">This plant manufactures various products for multinational companies such as Procter &amp; Gamble.  It has created about 1,000 jobs and and it will most prominently produce plastic-injection-molded components and finished consumer goods. The HAYCO Group is additionally planning for an adjacent facility to be constructed by 2022. </v>
      </c>
      <c r="O33" s="6" t="str">
        <f ca="1">IFERROR(__xludf.DUMMYFUNCTION("""COMPUTED_VALUE"""),"N/A")</f>
        <v>N/A</v>
      </c>
      <c r="P33" s="12">
        <f ca="1">IFERROR(__xludf.DUMMYFUNCTION("""COMPUTED_VALUE"""),43524)</f>
        <v>43524</v>
      </c>
      <c r="Q33" s="6" t="str">
        <f ca="1">IFERROR(__xludf.DUMMYFUNCTION("""COMPUTED_VALUE"""),"Completed")</f>
        <v>Completed</v>
      </c>
      <c r="R33" s="6" t="str">
        <f ca="1">IFERROR(__xludf.DUMMYFUNCTION("""COMPUTED_VALUE"""),"MFG")</f>
        <v>MFG</v>
      </c>
      <c r="S33" s="9" t="str">
        <f ca="1">IFERROR(__xludf.DUMMYFUNCTION("""COMPUTED_VALUE"""),"https://gist.github.com/Remy2020/fd6b13e4f0aab3f7d93545db6af1c4bb")</f>
        <v>https://gist.github.com/Remy2020/fd6b13e4f0aab3f7d93545db6af1c4bb</v>
      </c>
      <c r="T33" s="6" t="str">
        <f ca="1">IFERROR(__xludf.DUMMYFUNCTION("""COMPUTED_VALUE"""),"BLOB")</f>
        <v>BLOB</v>
      </c>
      <c r="U33" s="6" t="str">
        <f ca="1">IFERROR(__xludf.DUMMYFUNCTION("""COMPUTED_VALUE"""),"Used satellite images and followed google maps")</f>
        <v>Used satellite images and followed google maps</v>
      </c>
      <c r="V33" s="6" t="str">
        <f ca="1">IFERROR(__xludf.DUMMYFUNCTION("""COMPUTED_VALUE"""),"Yes (Both)")</f>
        <v>Yes (Both)</v>
      </c>
      <c r="W33" s="6" t="str">
        <f ca="1">IFERROR(__xludf.DUMMYFUNCTION("""COMPUTED_VALUE"""),"Santo Domingo")</f>
        <v>Santo Domingo</v>
      </c>
      <c r="X33" s="6" t="str">
        <f ca="1">IFERROR(__xludf.DUMMYFUNCTION("""COMPUTED_VALUE"""),"10/07/2017,
09/07/2018,
02/23/2019,
10/20/2019")</f>
        <v>10/07/2017,
09/07/2018,
02/23/2019,
10/20/2019</v>
      </c>
      <c r="Y33" s="6" t="str">
        <f ca="1">IFERROR(__xludf.DUMMYFUNCTION("""COMPUTED_VALUE"""),"These images show us the progress of a production plant's transition to Chinese ownership (HAYCO group)")</f>
        <v>These images show us the progress of a production plant's transition to Chinese ownership (HAYCO group)</v>
      </c>
      <c r="Z33" s="6"/>
      <c r="AA33" s="6"/>
      <c r="AB33" s="6"/>
      <c r="AC33" s="6"/>
      <c r="AD33" s="6"/>
      <c r="AE33" s="6"/>
      <c r="AF33" s="6"/>
      <c r="AG33" s="6"/>
    </row>
    <row r="34" spans="1:33" ht="118.8" x14ac:dyDescent="0.25">
      <c r="A34" s="6">
        <f ca="1">IFERROR(__xludf.DUMMYFUNCTION("""COMPUTED_VALUE"""),34)</f>
        <v>34</v>
      </c>
      <c r="B34" s="10">
        <f ca="1">IFERROR(__xludf.DUMMYFUNCTION("""COMPUTED_VALUE"""),3)</f>
        <v>3</v>
      </c>
      <c r="C34" s="6" t="str">
        <f ca="1">IFERROR(__xludf.DUMMYFUNCTION("""COMPUTED_VALUE"""),"Patuca III Hydroelectric plant")</f>
        <v>Patuca III Hydroelectric plant</v>
      </c>
      <c r="D34" s="6" t="str">
        <f ca="1">IFERROR(__xludf.DUMMYFUNCTION("""COMPUTED_VALUE"""),"CHEXIM")</f>
        <v>CHEXIM</v>
      </c>
      <c r="E34" s="6" t="str">
        <f ca="1">IFERROR(__xludf.DUMMYFUNCTION("""COMPUTED_VALUE"""),"CHEXIM and Industrial and Commercial Bank of China Limited (ICBC)")</f>
        <v>CHEXIM and Industrial and Commercial Bank of China Limited (ICBC)</v>
      </c>
      <c r="F34" s="6" t="str">
        <f ca="1">IFERROR(__xludf.DUMMYFUNCTION("""COMPUTED_VALUE"""),"Sinohydro")</f>
        <v>Sinohydro</v>
      </c>
      <c r="G34" s="6">
        <f ca="1">IFERROR(__xludf.DUMMYFUNCTION("""COMPUTED_VALUE"""),7)</f>
        <v>7</v>
      </c>
      <c r="H34" s="6" t="str">
        <f ca="1">IFERROR(__xludf.DUMMYFUNCTION("""COMPUTED_VALUE"""),"Energy - sustainable")</f>
        <v>Energy - sustainable</v>
      </c>
      <c r="I34" s="6" t="str">
        <f ca="1">IFERROR(__xludf.DUMMYFUNCTION("""COMPUTED_VALUE"""),"Loan")</f>
        <v>Loan</v>
      </c>
      <c r="J34" s="6" t="str">
        <f ca="1">IFERROR(__xludf.DUMMYFUNCTION("""COMPUTED_VALUE"""),"$297,719,934.10 USD")</f>
        <v>$297,719,934.10 USD</v>
      </c>
      <c r="K34" s="6" t="str">
        <f ca="1">IFERROR(__xludf.DUMMYFUNCTION("""COMPUTED_VALUE"""),"HND")</f>
        <v>HND</v>
      </c>
      <c r="L34" s="6" t="str">
        <f ca="1">IFERROR(__xludf.DUMMYFUNCTION("""COMPUTED_VALUE"""),"Honduras")</f>
        <v>Honduras</v>
      </c>
      <c r="M34" s="6" t="str">
        <f ca="1">IFERROR(__xludf.DUMMYFUNCTION("""COMPUTED_VALUE"""),"Five kilometers downstream of the confluence of the Guyape and Guayambre rivers in the department of Olancho")</f>
        <v>Five kilometers downstream of the confluence of the Guyape and Guayambre rivers in the department of Olancho</v>
      </c>
      <c r="N34" s="6" t="str">
        <f ca="1">IFERROR(__xludf.DUMMYFUNCTION("""COMPUTED_VALUE"""),"The CHEXIM and Industrial and Commercial Bank of China (ICBC) loaned the Honduran government money for the creation of a hydroelectric plant, ""Patuca III"".The plant is being constructed by Chinese, state-owned, hydropower engineering and construction co"&amp;"mpany.  The original government document lists the loan is for $297,719,934.10 USD. This is not a BRI project because Honduras recogonizes / has diplomatic ties with Taiwan, not the PRC, and is therefore not a part of the BRI.")</f>
        <v>The CHEXIM and Industrial and Commercial Bank of China (ICBC) loaned the Honduran government money for the creation of a hydroelectric plant, "Patuca III".The plant is being constructed by Chinese, state-owned, hydropower engineering and construction company.  The original government document lists the loan is for $297,719,934.10 USD. This is not a BRI project because Honduras recogonizes / has diplomatic ties with Taiwan, not the PRC, and is therefore not a part of the BRI.</v>
      </c>
      <c r="O34" s="8">
        <f ca="1">IFERROR(__xludf.DUMMYFUNCTION("""COMPUTED_VALUE"""),43729)</f>
        <v>43729</v>
      </c>
      <c r="P34" s="6" t="str">
        <f ca="1">IFERROR(__xludf.DUMMYFUNCTION("""COMPUTED_VALUE"""),"N/A")</f>
        <v>N/A</v>
      </c>
      <c r="Q34" s="6" t="str">
        <f ca="1">IFERROR(__xludf.DUMMYFUNCTION("""COMPUTED_VALUE"""),"Under construction - delayed")</f>
        <v>Under construction - delayed</v>
      </c>
      <c r="R34" s="6" t="str">
        <f ca="1">IFERROR(__xludf.DUMMYFUNCTION("""COMPUTED_VALUE"""),"PSH")</f>
        <v>PSH</v>
      </c>
      <c r="S34" s="9" t="str">
        <f ca="1">IFERROR(__xludf.DUMMYFUNCTION("""COMPUTED_VALUE"""),"https://gist.github.com/Remy2020/2f6fe7eb9ff29cd4903be32416586c86")</f>
        <v>https://gist.github.com/Remy2020/2f6fe7eb9ff29cd4903be32416586c86</v>
      </c>
      <c r="T34" s="6" t="str">
        <f ca="1">IFERROR(__xludf.DUMMYFUNCTION("""COMPUTED_VALUE"""),"BLOB")</f>
        <v>BLOB</v>
      </c>
      <c r="U34" s="6" t="str">
        <f ca="1">IFERROR(__xludf.DUMMYFUNCTION("""COMPUTED_VALUE"""),"Used satellite images and followed google maps")</f>
        <v>Used satellite images and followed google maps</v>
      </c>
      <c r="V34" s="6" t="str">
        <f ca="1">IFERROR(__xludf.DUMMYFUNCTION("""COMPUTED_VALUE"""),"Yes (Both)")</f>
        <v>Yes (Both)</v>
      </c>
      <c r="W34" s="6" t="str">
        <f ca="1">IFERROR(__xludf.DUMMYFUNCTION("""COMPUTED_VALUE"""),"Olancho")</f>
        <v>Olancho</v>
      </c>
      <c r="X34" s="6" t="str">
        <f ca="1">IFERROR(__xludf.DUMMYFUNCTION("""COMPUTED_VALUE"""),"01/12/2018,
06/30/2018,
04/24/2019")</f>
        <v>01/12/2018,
06/30/2018,
04/24/2019</v>
      </c>
      <c r="Y34" s="6" t="str">
        <f ca="1">IFERROR(__xludf.DUMMYFUNCTION("""COMPUTED_VALUE"""),"These images show us prior to, around the time of, and the most recent view of the site of a hydroelectric plant along the Patuca River.  It appears that there may be two slightly separate locations of possible interest- also it is difficut to tell if a d"&amp;"am once present in 2018 has been deconstructed or is just blocked by the clouds")</f>
        <v>These images show us prior to, around the time of, and the most recent view of the site of a hydroelectric plant along the Patuca River.  It appears that there may be two slightly separate locations of possible interest- also it is difficut to tell if a dam once present in 2018 has been deconstructed or is just blocked by the clouds</v>
      </c>
      <c r="Z34" s="6"/>
      <c r="AA34" s="6"/>
      <c r="AB34" s="6"/>
      <c r="AC34" s="6"/>
      <c r="AD34" s="6"/>
      <c r="AE34" s="6"/>
      <c r="AF34" s="6"/>
      <c r="AG34" s="6"/>
    </row>
    <row r="35" spans="1:33" ht="52.8" x14ac:dyDescent="0.25">
      <c r="A35" s="6">
        <f ca="1">IFERROR(__xludf.DUMMYFUNCTION("""COMPUTED_VALUE"""),35)</f>
        <v>35</v>
      </c>
      <c r="B35" s="10">
        <f ca="1">IFERROR(__xludf.DUMMYFUNCTION("""COMPUTED_VALUE"""),3)</f>
        <v>3</v>
      </c>
      <c r="C35" s="6" t="str">
        <f ca="1">IFERROR(__xludf.DUMMYFUNCTION("""COMPUTED_VALUE"""),"Special Economic Zone and Industrial Plant")</f>
        <v>Special Economic Zone and Industrial Plant</v>
      </c>
      <c r="D35" s="6" t="str">
        <f ca="1">IFERROR(__xludf.DUMMYFUNCTION("""COMPUTED_VALUE"""),"Other Chinese Institution")</f>
        <v>Other Chinese Institution</v>
      </c>
      <c r="E35" s="6" t="str">
        <f ca="1">IFERROR(__xludf.DUMMYFUNCTION("""COMPUTED_VALUE"""),"Jiuquan Iron and Steel Company (JISCO)")</f>
        <v>Jiuquan Iron and Steel Company (JISCO)</v>
      </c>
      <c r="F35" s="6" t="str">
        <f ca="1">IFERROR(__xludf.DUMMYFUNCTION("""COMPUTED_VALUE"""),"Jiuquan Iron and Steel Company (JISCO)")</f>
        <v>Jiuquan Iron and Steel Company (JISCO)</v>
      </c>
      <c r="G35" s="6">
        <f ca="1">IFERROR(__xludf.DUMMYFUNCTION("""COMPUTED_VALUE"""),1.1)</f>
        <v>1.1000000000000001</v>
      </c>
      <c r="H35" s="6" t="str">
        <f ca="1">IFERROR(__xludf.DUMMYFUNCTION("""COMPUTED_VALUE"""),"Natural Resources")</f>
        <v>Natural Resources</v>
      </c>
      <c r="I35" s="6" t="str">
        <f ca="1">IFERROR(__xludf.DUMMYFUNCTION("""COMPUTED_VALUE"""),"Contract")</f>
        <v>Contract</v>
      </c>
      <c r="J35" s="6" t="str">
        <f ca="1">IFERROR(__xludf.DUMMYFUNCTION("""COMPUTED_VALUE"""),"$3,000,000,000 USD")</f>
        <v>$3,000,000,000 USD</v>
      </c>
      <c r="K35" s="6" t="str">
        <f ca="1">IFERROR(__xludf.DUMMYFUNCTION("""COMPUTED_VALUE"""),"JAM")</f>
        <v>JAM</v>
      </c>
      <c r="L35" s="6" t="str">
        <f ca="1">IFERROR(__xludf.DUMMYFUNCTION("""COMPUTED_VALUE"""),"Jamaica")</f>
        <v>Jamaica</v>
      </c>
      <c r="M35" s="6" t="str">
        <f ca="1">IFERROR(__xludf.DUMMYFUNCTION("""COMPUTED_VALUE"""),"Nain, St. Elizabeth")</f>
        <v>Nain, St. Elizabeth</v>
      </c>
      <c r="N35" s="6" t="str">
        <f ca="1">IFERROR(__xludf.DUMMYFUNCTION("""COMPUTED_VALUE"""),"JISCO is developing an Industrial Park and Special Economic Zone that will include a bauxite/alumina refinery and an electricity plant to power this and other businesses. This project is expected to create about 60,000 new jobs. Work on the SEZ has been d"&amp;"elayed until after the work on the Alpart alumina plant (which is located in this SEZ) is done.")</f>
        <v>JISCO is developing an Industrial Park and Special Economic Zone that will include a bauxite/alumina refinery and an electricity plant to power this and other businesses. This project is expected to create about 60,000 new jobs. Work on the SEZ has been delayed until after the work on the Alpart alumina plant (which is located in this SEZ) is done.</v>
      </c>
      <c r="O35" s="6" t="str">
        <f ca="1">IFERROR(__xludf.DUMMYFUNCTION("""COMPUTED_VALUE"""),"6/00/2018")</f>
        <v>6/00/2018</v>
      </c>
      <c r="P35" s="6" t="str">
        <f ca="1">IFERROR(__xludf.DUMMYFUNCTION("""COMPUTED_VALUE"""),"N/A")</f>
        <v>N/A</v>
      </c>
      <c r="Q35" s="6" t="str">
        <f ca="1">IFERROR(__xludf.DUMMYFUNCTION("""COMPUTED_VALUE"""),"Delayed")</f>
        <v>Delayed</v>
      </c>
      <c r="R35" s="6" t="str">
        <f ca="1">IFERROR(__xludf.DUMMYFUNCTION("""COMPUTED_VALUE"""),"INDS")</f>
        <v>INDS</v>
      </c>
      <c r="S35" s="9" t="str">
        <f ca="1">IFERROR(__xludf.DUMMYFUNCTION("""COMPUTED_VALUE"""),"https://gist.github.com/Remy2020/49d8e00da7230acc53f827b4848304c2")</f>
        <v>https://gist.github.com/Remy2020/49d8e00da7230acc53f827b4848304c2</v>
      </c>
      <c r="T35" s="6" t="str">
        <f ca="1">IFERROR(__xludf.DUMMYFUNCTION("""COMPUTED_VALUE"""),"BLOB")</f>
        <v>BLOB</v>
      </c>
      <c r="U35" s="6" t="str">
        <f ca="1">IFERROR(__xludf.DUMMYFUNCTION("""COMPUTED_VALUE"""),"Used satellite images and followed google maps")</f>
        <v>Used satellite images and followed google maps</v>
      </c>
      <c r="V35" s="6" t="str">
        <f ca="1">IFERROR(__xludf.DUMMYFUNCTION("""COMPUTED_VALUE"""),"Yes (Both)")</f>
        <v>Yes (Both)</v>
      </c>
      <c r="W35" s="6" t="str">
        <f ca="1">IFERROR(__xludf.DUMMYFUNCTION("""COMPUTED_VALUE"""),"Saint Elizabeth")</f>
        <v>Saint Elizabeth</v>
      </c>
      <c r="X35" s="6" t="str">
        <f ca="1">IFERROR(__xludf.DUMMYFUNCTION("""COMPUTED_VALUE"""),"03/07/2018,
10/08/2019")</f>
        <v>03/07/2018,
10/08/2019</v>
      </c>
      <c r="Y35" s="6" t="str">
        <f ca="1">IFERROR(__xludf.DUMMYFUNCTION("""COMPUTED_VALUE"""),"These images are similar to those from activity 13 because it is not clear where the Industrial park will be built relative to the JISCO plant")</f>
        <v>These images are similar to those from activity 13 because it is not clear where the Industrial park will be built relative to the JISCO plant</v>
      </c>
      <c r="Z35" s="6"/>
      <c r="AA35" s="6"/>
      <c r="AB35" s="6"/>
      <c r="AC35" s="6"/>
      <c r="AD35" s="6"/>
      <c r="AE35" s="6"/>
      <c r="AF35" s="6"/>
      <c r="AG35" s="6"/>
    </row>
    <row r="36" spans="1:33" ht="52.8" x14ac:dyDescent="0.25">
      <c r="A36" s="6">
        <f ca="1">IFERROR(__xludf.DUMMYFUNCTION("""COMPUTED_VALUE"""),36)</f>
        <v>36</v>
      </c>
      <c r="B36" s="10">
        <f ca="1">IFERROR(__xludf.DUMMYFUNCTION("""COMPUTED_VALUE"""),3)</f>
        <v>3</v>
      </c>
      <c r="C36" s="6" t="str">
        <f ca="1">IFERROR(__xludf.DUMMYFUNCTION("""COMPUTED_VALUE"""),"Transshipment Port")</f>
        <v>Transshipment Port</v>
      </c>
      <c r="D36" s="6" t="str">
        <f ca="1">IFERROR(__xludf.DUMMYFUNCTION("""COMPUTED_VALUE"""),"Other Institution")</f>
        <v>Other Institution</v>
      </c>
      <c r="E36" s="6" t="str">
        <f ca="1">IFERROR(__xludf.DUMMYFUNCTION("""COMPUTED_VALUE"""),"Govt of Jamaica")</f>
        <v>Govt of Jamaica</v>
      </c>
      <c r="F36" s="6" t="str">
        <f ca="1">IFERROR(__xludf.DUMMYFUNCTION("""COMPUTED_VALUE"""),"China Harbour Engineering Company (CHEC)")</f>
        <v>China Harbour Engineering Company (CHEC)</v>
      </c>
      <c r="G36" s="6">
        <f ca="1">IFERROR(__xludf.DUMMYFUNCTION("""COMPUTED_VALUE"""),4)</f>
        <v>4</v>
      </c>
      <c r="H36" s="6" t="str">
        <f ca="1">IFERROR(__xludf.DUMMYFUNCTION("""COMPUTED_VALUE"""),"Port")</f>
        <v>Port</v>
      </c>
      <c r="I36" s="6" t="str">
        <f ca="1">IFERROR(__xludf.DUMMYFUNCTION("""COMPUTED_VALUE"""),"Contract")</f>
        <v>Contract</v>
      </c>
      <c r="J36" s="6" t="str">
        <f ca="1">IFERROR(__xludf.DUMMYFUNCTION("""COMPUTED_VALUE"""),"N/A")</f>
        <v>N/A</v>
      </c>
      <c r="K36" s="6" t="str">
        <f ca="1">IFERROR(__xludf.DUMMYFUNCTION("""COMPUTED_VALUE"""),"JAM")</f>
        <v>JAM</v>
      </c>
      <c r="L36" s="6" t="str">
        <f ca="1">IFERROR(__xludf.DUMMYFUNCTION("""COMPUTED_VALUE"""),"Jamaica")</f>
        <v>Jamaica</v>
      </c>
      <c r="M36" s="6" t="str">
        <f ca="1">IFERROR(__xludf.DUMMYFUNCTION("""COMPUTED_VALUE"""),"Great Goat Island, Portland Bight Protected Area, Jamaica")</f>
        <v>Great Goat Island, Portland Bight Protected Area, Jamaica</v>
      </c>
      <c r="N36" s="6" t="str">
        <f ca="1">IFERROR(__xludf.DUMMYFUNCTION("""COMPUTED_VALUE"""),"The Jamaican government signed a preliminary agreement with CHEC for the development of a transshipment port in the Portland Bight Protected Area. Project was delayed due to environmental concerns in 2016. Project has not been relocated.")</f>
        <v>The Jamaican government signed a preliminary agreement with CHEC for the development of a transshipment port in the Portland Bight Protected Area. Project was delayed due to environmental concerns in 2016. Project has not been relocated.</v>
      </c>
      <c r="O36" s="6" t="str">
        <f ca="1">IFERROR(__xludf.DUMMYFUNCTION("""COMPUTED_VALUE"""),"4/00/2014")</f>
        <v>4/00/2014</v>
      </c>
      <c r="P36" s="6" t="str">
        <f ca="1">IFERROR(__xludf.DUMMYFUNCTION("""COMPUTED_VALUE"""),"N/A")</f>
        <v>N/A</v>
      </c>
      <c r="Q36" s="6" t="str">
        <f ca="1">IFERROR(__xludf.DUMMYFUNCTION("""COMPUTED_VALUE"""),"Delayed")</f>
        <v>Delayed</v>
      </c>
      <c r="R36" s="6" t="str">
        <f ca="1">IFERROR(__xludf.DUMMYFUNCTION("""COMPUTED_VALUE"""),"PRT")</f>
        <v>PRT</v>
      </c>
      <c r="S36" s="6" t="str">
        <f ca="1">IFERROR(__xludf.DUMMYFUNCTION("""COMPUTED_VALUE"""),"JAM_ADM0_2_0_0_0")</f>
        <v>JAM_ADM0_2_0_0_0</v>
      </c>
      <c r="T36" s="6" t="str">
        <f ca="1">IFERROR(__xludf.DUMMYFUNCTION("""COMPUTED_VALUE"""),"PCLI")</f>
        <v>PCLI</v>
      </c>
      <c r="U36" s="6" t="str">
        <f ca="1">IFERROR(__xludf.DUMMYFUNCTION("""COMPUTED_VALUE"""),"Coded up to country level because port is delayed and will most likely be relocated")</f>
        <v>Coded up to country level because port is delayed and will most likely be relocated</v>
      </c>
      <c r="V36" s="6" t="str">
        <f ca="1">IFERROR(__xludf.DUMMYFUNCTION("""COMPUTED_VALUE"""),"No")</f>
        <v>No</v>
      </c>
      <c r="W36" s="6" t="str">
        <f ca="1">IFERROR(__xludf.DUMMYFUNCTION("""COMPUTED_VALUE"""),"NA")</f>
        <v>NA</v>
      </c>
      <c r="X36" s="6" t="str">
        <f ca="1">IFERROR(__xludf.DUMMYFUNCTION("""COMPUTED_VALUE"""),"NA")</f>
        <v>NA</v>
      </c>
      <c r="Y36" s="6" t="str">
        <f ca="1">IFERROR(__xludf.DUMMYFUNCTION("""COMPUTED_VALUE"""),"NA")</f>
        <v>NA</v>
      </c>
      <c r="Z36" s="6" t="str">
        <f ca="1">IFERROR(__xludf.DUMMYFUNCTION("""COMPUTED_VALUE"""),"NA")</f>
        <v>NA</v>
      </c>
      <c r="AA36" s="6"/>
      <c r="AB36" s="6"/>
      <c r="AC36" s="6"/>
      <c r="AD36" s="6"/>
      <c r="AE36" s="6"/>
      <c r="AF36" s="6"/>
      <c r="AG36" s="6"/>
    </row>
    <row r="37" spans="1:33" ht="39.6" x14ac:dyDescent="0.25">
      <c r="A37" s="6">
        <f ca="1">IFERROR(__xludf.DUMMYFUNCTION("""COMPUTED_VALUE"""),37)</f>
        <v>37</v>
      </c>
      <c r="B37" s="10">
        <f ca="1">IFERROR(__xludf.DUMMYFUNCTION("""COMPUTED_VALUE"""),4)</f>
        <v>4</v>
      </c>
      <c r="C37" s="6" t="str">
        <f ca="1">IFERROR(__xludf.DUMMYFUNCTION("""COMPUTED_VALUE"""),"Highway through south coast of Jamaica")</f>
        <v>Highway through south coast of Jamaica</v>
      </c>
      <c r="D37" s="6" t="str">
        <f ca="1">IFERROR(__xludf.DUMMYFUNCTION("""COMPUTED_VALUE"""),"CHEXIM")</f>
        <v>CHEXIM</v>
      </c>
      <c r="E37" s="6" t="str">
        <f ca="1">IFERROR(__xludf.DUMMYFUNCTION("""COMPUTED_VALUE"""),"CHEXIM")</f>
        <v>CHEXIM</v>
      </c>
      <c r="F37" s="6" t="str">
        <f ca="1">IFERROR(__xludf.DUMMYFUNCTION("""COMPUTED_VALUE"""),"China Harbour Engineering Company (CHEC)")</f>
        <v>China Harbour Engineering Company (CHEC)</v>
      </c>
      <c r="G37" s="6">
        <f ca="1">IFERROR(__xludf.DUMMYFUNCTION("""COMPUTED_VALUE"""),1.1)</f>
        <v>1.1000000000000001</v>
      </c>
      <c r="H37" s="6" t="str">
        <f ca="1">IFERROR(__xludf.DUMMYFUNCTION("""COMPUTED_VALUE"""),"Road")</f>
        <v>Road</v>
      </c>
      <c r="I37" s="6" t="str">
        <f ca="1">IFERROR(__xludf.DUMMYFUNCTION("""COMPUTED_VALUE"""),"Contract")</f>
        <v>Contract</v>
      </c>
      <c r="J37" s="7" t="str">
        <f ca="1">IFERROR(__xludf.DUMMYFUNCTION("""COMPUTED_VALUE"""),"$384,000,000 USD")</f>
        <v>$384,000,000 USD</v>
      </c>
      <c r="K37" s="6" t="str">
        <f ca="1">IFERROR(__xludf.DUMMYFUNCTION("""COMPUTED_VALUE"""),"JAM")</f>
        <v>JAM</v>
      </c>
      <c r="L37" s="6" t="str">
        <f ca="1">IFERROR(__xludf.DUMMYFUNCTION("""COMPUTED_VALUE"""),"Jamaica")</f>
        <v>Jamaica</v>
      </c>
      <c r="M37" s="6" t="str">
        <f ca="1">IFERROR(__xludf.DUMMYFUNCTION("""COMPUTED_VALUE"""),"Highway connecting Negril, Westmoreland to Port Antonio, Portland")</f>
        <v>Highway connecting Negril, Westmoreland to Port Antonio, Portland</v>
      </c>
      <c r="N37" s="6" t="str">
        <f ca="1">IFERROR(__xludf.DUMMYFUNCTION("""COMPUTED_VALUE"""),"China Harbour Engineering Company Limited (CHEC) has been given the contract for the Southern Coastal Highway Improvement Project (SCHIP). The project is being funded by a loan through the China EXIM bank.")</f>
        <v>China Harbour Engineering Company Limited (CHEC) has been given the contract for the Southern Coastal Highway Improvement Project (SCHIP). The project is being funded by a loan through the China EXIM bank.</v>
      </c>
      <c r="O37" s="8">
        <f ca="1">IFERROR(__xludf.DUMMYFUNCTION("""COMPUTED_VALUE"""),43705)</f>
        <v>43705</v>
      </c>
      <c r="P37" s="6" t="str">
        <f ca="1">IFERROR(__xludf.DUMMYFUNCTION("""COMPUTED_VALUE"""),"N/A")</f>
        <v>N/A</v>
      </c>
      <c r="Q37" s="6" t="str">
        <f ca="1">IFERROR(__xludf.DUMMYFUNCTION("""COMPUTED_VALUE"""),"Proposed - formal")</f>
        <v>Proposed - formal</v>
      </c>
      <c r="R37" s="6" t="str">
        <f ca="1">IFERROR(__xludf.DUMMYFUNCTION("""COMPUTED_VALUE"""),"RD")</f>
        <v>RD</v>
      </c>
      <c r="S37" s="6" t="str">
        <f ca="1">IFERROR(__xludf.DUMMYFUNCTION("""COMPUTED_VALUE"""),"JAM_ADM0_2_0_0_0")</f>
        <v>JAM_ADM0_2_0_0_0</v>
      </c>
      <c r="T37" s="6" t="str">
        <f ca="1">IFERROR(__xludf.DUMMYFUNCTION("""COMPUTED_VALUE"""),"PCLI")</f>
        <v>PCLI</v>
      </c>
      <c r="U37" s="6" t="str">
        <f ca="1">IFERROR(__xludf.DUMMYFUNCTION("""COMPUTED_VALUE"""),"Coded up to country level because the highway extends across Jamaica")</f>
        <v>Coded up to country level because the highway extends across Jamaica</v>
      </c>
      <c r="V37" s="6" t="str">
        <f ca="1">IFERROR(__xludf.DUMMYFUNCTION("""COMPUTED_VALUE"""),"No")</f>
        <v>No</v>
      </c>
      <c r="W37" s="6" t="str">
        <f ca="1">IFERROR(__xludf.DUMMYFUNCTION("""COMPUTED_VALUE"""),"NA")</f>
        <v>NA</v>
      </c>
      <c r="X37" s="6"/>
      <c r="Y37" s="6"/>
      <c r="Z37" s="6"/>
      <c r="AA37" s="6"/>
      <c r="AB37" s="6"/>
      <c r="AC37" s="6"/>
      <c r="AD37" s="6"/>
      <c r="AE37" s="6"/>
      <c r="AF37" s="6"/>
      <c r="AG37" s="6"/>
    </row>
    <row r="38" spans="1:33" ht="39.6" x14ac:dyDescent="0.25">
      <c r="A38" s="6">
        <f ca="1">IFERROR(__xludf.DUMMYFUNCTION("""COMPUTED_VALUE"""),38)</f>
        <v>38</v>
      </c>
      <c r="B38" s="10">
        <f ca="1">IFERROR(__xludf.DUMMYFUNCTION("""COMPUTED_VALUE"""),3)</f>
        <v>3</v>
      </c>
      <c r="C38" s="6" t="str">
        <f ca="1">IFERROR(__xludf.DUMMYFUNCTION("""COMPUTED_VALUE"""),"North-South Highway")</f>
        <v>North-South Highway</v>
      </c>
      <c r="D38" s="6" t="str">
        <f ca="1">IFERROR(__xludf.DUMMYFUNCTION("""COMPUTED_VALUE"""),"CHEXIM")</f>
        <v>CHEXIM</v>
      </c>
      <c r="E38" s="6" t="str">
        <f ca="1">IFERROR(__xludf.DUMMYFUNCTION("""COMPUTED_VALUE"""),"China Exim bank")</f>
        <v>China Exim bank</v>
      </c>
      <c r="F38" s="6" t="str">
        <f ca="1">IFERROR(__xludf.DUMMYFUNCTION("""COMPUTED_VALUE"""),"China Harbour Engineering Company (CHEC)")</f>
        <v>China Harbour Engineering Company (CHEC)</v>
      </c>
      <c r="G38" s="6">
        <f ca="1">IFERROR(__xludf.DUMMYFUNCTION("""COMPUTED_VALUE"""),4)</f>
        <v>4</v>
      </c>
      <c r="H38" s="6" t="str">
        <f ca="1">IFERROR(__xludf.DUMMYFUNCTION("""COMPUTED_VALUE"""),"Road")</f>
        <v>Road</v>
      </c>
      <c r="I38" s="6" t="str">
        <f ca="1">IFERROR(__xludf.DUMMYFUNCTION("""COMPUTED_VALUE"""),"Contract")</f>
        <v>Contract</v>
      </c>
      <c r="J38" s="6" t="str">
        <f ca="1">IFERROR(__xludf.DUMMYFUNCTION("""COMPUTED_VALUE"""),"$730,000,000 USD")</f>
        <v>$730,000,000 USD</v>
      </c>
      <c r="K38" s="6" t="str">
        <f ca="1">IFERROR(__xludf.DUMMYFUNCTION("""COMPUTED_VALUE"""),"JAM")</f>
        <v>JAM</v>
      </c>
      <c r="L38" s="6" t="str">
        <f ca="1">IFERROR(__xludf.DUMMYFUNCTION("""COMPUTED_VALUE"""),"Jamaica")</f>
        <v>Jamaica</v>
      </c>
      <c r="M38" s="6" t="str">
        <f ca="1">IFERROR(__xludf.DUMMYFUNCTION("""COMPUTED_VALUE"""),"North-South Highway from Kingston to Ocho Rios, St Ann.")</f>
        <v>North-South Highway from Kingston to Ocho Rios, St Ann.</v>
      </c>
      <c r="N38" s="6" t="str">
        <f ca="1">IFERROR(__xludf.DUMMYFUNCTION("""COMPUTED_VALUE"""),"China Harbour Engineering Company Limited (CHEC) was given the contract for a North-South highway project. The project is being funded by a loan through the China EXIM bank. As of 2016, the project included a USD $730 million investment from China and 1,0"&amp;"00 Chinese workers.")</f>
        <v>China Harbour Engineering Company Limited (CHEC) was given the contract for a North-South highway project. The project is being funded by a loan through the China EXIM bank. As of 2016, the project included a USD $730 million investment from China and 1,000 Chinese workers.</v>
      </c>
      <c r="O38" s="8">
        <f ca="1">IFERROR(__xludf.DUMMYFUNCTION("""COMPUTED_VALUE"""),41081)</f>
        <v>41081</v>
      </c>
      <c r="P38" s="8">
        <f ca="1">IFERROR(__xludf.DUMMYFUNCTION("""COMPUTED_VALUE"""),42430)</f>
        <v>42430</v>
      </c>
      <c r="Q38" s="6" t="str">
        <f ca="1">IFERROR(__xludf.DUMMYFUNCTION("""COMPUTED_VALUE"""),"Completed")</f>
        <v>Completed</v>
      </c>
      <c r="R38" s="6" t="str">
        <f ca="1">IFERROR(__xludf.DUMMYFUNCTION("""COMPUTED_VALUE"""),"RD")</f>
        <v>RD</v>
      </c>
      <c r="S38" s="6" t="str">
        <f ca="1">IFERROR(__xludf.DUMMYFUNCTION("""COMPUTED_VALUE"""),"JAM_ADM0_2_0_0_0")</f>
        <v>JAM_ADM0_2_0_0_0</v>
      </c>
      <c r="T38" s="6" t="str">
        <f ca="1">IFERROR(__xludf.DUMMYFUNCTION("""COMPUTED_VALUE"""),"PCLI")</f>
        <v>PCLI</v>
      </c>
      <c r="U38" s="6" t="str">
        <f ca="1">IFERROR(__xludf.DUMMYFUNCTION("""COMPUTED_VALUE"""),"Coded up to country level because the highway extends across Jamaica")</f>
        <v>Coded up to country level because the highway extends across Jamaica</v>
      </c>
      <c r="V38" s="6" t="str">
        <f ca="1">IFERROR(__xludf.DUMMYFUNCTION("""COMPUTED_VALUE"""),"No")</f>
        <v>No</v>
      </c>
      <c r="W38" s="6" t="str">
        <f ca="1">IFERROR(__xludf.DUMMYFUNCTION("""COMPUTED_VALUE"""),"NA")</f>
        <v>NA</v>
      </c>
      <c r="X38" s="6"/>
      <c r="Y38" s="6"/>
      <c r="Z38" s="6" t="str">
        <f ca="1">IFERROR(__xludf.DUMMYFUNCTION("""COMPUTED_VALUE"""),"lat 18.01, lon -76.91 
lat 18.42, lon -77.15")</f>
        <v>lat 18.01, lon -76.91 
lat 18.42, lon -77.15</v>
      </c>
      <c r="AA38" s="6"/>
      <c r="AB38" s="6"/>
      <c r="AC38" s="6"/>
      <c r="AD38" s="6"/>
      <c r="AE38" s="6"/>
      <c r="AF38" s="6"/>
      <c r="AG38" s="6"/>
    </row>
    <row r="39" spans="1:33" ht="79.2" x14ac:dyDescent="0.25">
      <c r="A39" s="6">
        <f ca="1">IFERROR(__xludf.DUMMYFUNCTION("""COMPUTED_VALUE"""),39)</f>
        <v>39</v>
      </c>
      <c r="B39" s="10">
        <f ca="1">IFERROR(__xludf.DUMMYFUNCTION("""COMPUTED_VALUE"""),4)</f>
        <v>4</v>
      </c>
      <c r="C39" s="6" t="str">
        <f ca="1">IFERROR(__xludf.DUMMYFUNCTION("""COMPUTED_VALUE"""),"La Union Port and Port Area Development")</f>
        <v>La Union Port and Port Area Development</v>
      </c>
      <c r="D39" s="6" t="str">
        <f ca="1">IFERROR(__xludf.DUMMYFUNCTION("""COMPUTED_VALUE"""),"Other Institution")</f>
        <v>Other Institution</v>
      </c>
      <c r="E39" s="6" t="str">
        <f ca="1">IFERROR(__xludf.DUMMYFUNCTION("""COMPUTED_VALUE"""),"APX")</f>
        <v>APX</v>
      </c>
      <c r="F39" s="6" t="str">
        <f ca="1">IFERROR(__xludf.DUMMYFUNCTION("""COMPUTED_VALUE"""),"N/A")</f>
        <v>N/A</v>
      </c>
      <c r="G39" s="6">
        <f ca="1">IFERROR(__xludf.DUMMYFUNCTION("""COMPUTED_VALUE"""),1.1)</f>
        <v>1.1000000000000001</v>
      </c>
      <c r="H39" s="6" t="str">
        <f ca="1">IFERROR(__xludf.DUMMYFUNCTION("""COMPUTED_VALUE"""),"Port")</f>
        <v>Port</v>
      </c>
      <c r="I39" s="6" t="str">
        <f ca="1">IFERROR(__xludf.DUMMYFUNCTION("""COMPUTED_VALUE"""),"Proposal")</f>
        <v>Proposal</v>
      </c>
      <c r="J39" s="6" t="str">
        <f ca="1">IFERROR(__xludf.DUMMYFUNCTION("""COMPUTED_VALUE"""),"$100,000,000 USD")</f>
        <v>$100,000,000 USD</v>
      </c>
      <c r="K39" s="6" t="str">
        <f ca="1">IFERROR(__xludf.DUMMYFUNCTION("""COMPUTED_VALUE"""),"SLV")</f>
        <v>SLV</v>
      </c>
      <c r="L39" s="6" t="str">
        <f ca="1">IFERROR(__xludf.DUMMYFUNCTION("""COMPUTED_VALUE"""),"El Salvador")</f>
        <v>El Salvador</v>
      </c>
      <c r="M39" s="6" t="str">
        <f ca="1">IFERROR(__xludf.DUMMYFUNCTION("""COMPUTED_VALUE"""),"Puerto De La Unión, La Unión, El Salvador")</f>
        <v>Puerto De La Unión, La Unión, El Salvador</v>
      </c>
      <c r="N39" s="6" t="str">
        <f ca="1">IFERROR(__xludf.DUMMYFUNCTION("""COMPUTED_VALUE"""),"The Chinese company Asia-Pacific Xuanhao Project Investment (APX), after being invited to propose a contract for the Port la Union by the CEPA (Autonomous Executive Port Commission), has offered $100 million to develop projects in the area of the Port la "&amp;"Union. March of the same year, the CEPA board of directors leased APX 73 hectares in the area of the port. APX plans to add a fish processing plant, an international trade zone and warehouses. Terms are still in negotiations regarding the project amid int"&amp;"ernational pressures on a proposed special economic zone. The port project itself seems to be cancelled.")</f>
        <v>The Chinese company Asia-Pacific Xuanhao Project Investment (APX), after being invited to propose a contract for the Port la Union by the CEPA (Autonomous Executive Port Commission), has offered $100 million to develop projects in the area of the Port la Union. March of the same year, the CEPA board of directors leased APX 73 hectares in the area of the port. APX plans to add a fish processing plant, an international trade zone and warehouses. Terms are still in negotiations regarding the project amid international pressures on a proposed special economic zone. The port project itself seems to be cancelled.</v>
      </c>
      <c r="O39" s="6" t="str">
        <f ca="1">IFERROR(__xludf.DUMMYFUNCTION("""COMPUTED_VALUE"""),"09/00/2018")</f>
        <v>09/00/2018</v>
      </c>
      <c r="P39" s="6" t="str">
        <f ca="1">IFERROR(__xludf.DUMMYFUNCTION("""COMPUTED_VALUE"""),"N/A")</f>
        <v>N/A</v>
      </c>
      <c r="Q39" s="6" t="str">
        <f ca="1">IFERROR(__xludf.DUMMYFUNCTION("""COMPUTED_VALUE"""),"Proposed - informal")</f>
        <v>Proposed - informal</v>
      </c>
      <c r="R39" s="6" t="str">
        <f ca="1">IFERROR(__xludf.DUMMYFUNCTION("""COMPUTED_VALUE"""),"PRT")</f>
        <v>PRT</v>
      </c>
      <c r="S39" s="9" t="str">
        <f ca="1">IFERROR(__xludf.DUMMYFUNCTION("""COMPUTED_VALUE"""),"https://gist.github.com/mayadeutchman/6f8a98106bf74a7bd7dcda85049feec9")</f>
        <v>https://gist.github.com/mayadeutchman/6f8a98106bf74a7bd7dcda85049feec9</v>
      </c>
      <c r="T39" s="6" t="str">
        <f ca="1">IFERROR(__xludf.DUMMYFUNCTION("""COMPUTED_VALUE"""),"BLOB")</f>
        <v>BLOB</v>
      </c>
      <c r="U39" s="6" t="str">
        <f ca="1">IFERROR(__xludf.DUMMYFUNCTION("""COMPUTED_VALUE"""),"Used satellite imagery and followed google maps")</f>
        <v>Used satellite imagery and followed google maps</v>
      </c>
      <c r="V39" s="6" t="str">
        <f ca="1">IFERROR(__xludf.DUMMYFUNCTION("""COMPUTED_VALUE"""),"Yes (Both)")</f>
        <v>Yes (Both)</v>
      </c>
      <c r="W39" s="6" t="str">
        <f ca="1">IFERROR(__xludf.DUMMYFUNCTION("""COMPUTED_VALUE"""),"La Union")</f>
        <v>La Union</v>
      </c>
      <c r="X39" s="6" t="str">
        <f ca="1">IFERROR(__xludf.DUMMYFUNCTION("""COMPUTED_VALUE"""),"06/22/2018,
08/31/2018,
06/18/2019,
12/30/2019")</f>
        <v>06/22/2018,
08/31/2018,
06/18/2019,
12/30/2019</v>
      </c>
      <c r="Y39" s="6" t="str">
        <f ca="1">IFERROR(__xludf.DUMMYFUNCTION("""COMPUTED_VALUE"""),"In August 2018 China made economic promises with El Salvador to rebuild and reopen the now closed sea-port of La Union. These images show the slow construction of a 570m quay and then little change since.")</f>
        <v>In August 2018 China made economic promises with El Salvador to rebuild and reopen the now closed sea-port of La Union. These images show the slow construction of a 570m quay and then little change since.</v>
      </c>
      <c r="Z39" s="6" t="str">
        <f ca="1">IFERROR(__xludf.DUMMYFUNCTION("""COMPUTED_VALUE"""),"LAT: 13.3333  LON: -87.8214")</f>
        <v>LAT: 13.3333  LON: -87.8214</v>
      </c>
      <c r="AA39" s="6"/>
      <c r="AB39" s="6"/>
      <c r="AC39" s="6"/>
      <c r="AD39" s="6"/>
      <c r="AE39" s="6"/>
      <c r="AF39" s="6"/>
      <c r="AG39" s="6"/>
    </row>
    <row r="40" spans="1:33" ht="66" x14ac:dyDescent="0.25">
      <c r="A40" s="6">
        <f ca="1">IFERROR(__xludf.DUMMYFUNCTION("""COMPUTED_VALUE"""),40)</f>
        <v>40</v>
      </c>
      <c r="B40" s="10">
        <f ca="1">IFERROR(__xludf.DUMMYFUNCTION("""COMPUTED_VALUE"""),4)</f>
        <v>4</v>
      </c>
      <c r="C40" s="6" t="str">
        <f ca="1">IFERROR(__xludf.DUMMYFUNCTION("""COMPUTED_VALUE"""),"Special Economic Zone")</f>
        <v>Special Economic Zone</v>
      </c>
      <c r="D40" s="6" t="str">
        <f ca="1">IFERROR(__xludf.DUMMYFUNCTION("""COMPUTED_VALUE"""),"Other Institution")</f>
        <v>Other Institution</v>
      </c>
      <c r="E40" s="6" t="str">
        <f ca="1">IFERROR(__xludf.DUMMYFUNCTION("""COMPUTED_VALUE"""),"Government of El Salvador")</f>
        <v>Government of El Salvador</v>
      </c>
      <c r="F40" s="6" t="str">
        <f ca="1">IFERROR(__xludf.DUMMYFUNCTION("""COMPUTED_VALUE"""),"Government of El Salvador")</f>
        <v>Government of El Salvador</v>
      </c>
      <c r="G40" s="6">
        <f ca="1">IFERROR(__xludf.DUMMYFUNCTION("""COMPUTED_VALUE"""),6)</f>
        <v>6</v>
      </c>
      <c r="H40" s="6" t="str">
        <f ca="1">IFERROR(__xludf.DUMMYFUNCTION("""COMPUTED_VALUE"""),"Commercial")</f>
        <v>Commercial</v>
      </c>
      <c r="I40" s="6" t="str">
        <f ca="1">IFERROR(__xludf.DUMMYFUNCTION("""COMPUTED_VALUE"""),"Vague")</f>
        <v>Vague</v>
      </c>
      <c r="J40" s="6" t="str">
        <f ca="1">IFERROR(__xludf.DUMMYFUNCTION("""COMPUTED_VALUE"""),"N/A")</f>
        <v>N/A</v>
      </c>
      <c r="K40" s="6" t="str">
        <f ca="1">IFERROR(__xludf.DUMMYFUNCTION("""COMPUTED_VALUE"""),"SLV")</f>
        <v>SLV</v>
      </c>
      <c r="L40" s="6" t="str">
        <f ca="1">IFERROR(__xludf.DUMMYFUNCTION("""COMPUTED_VALUE"""),"El Salvador")</f>
        <v>El Salvador</v>
      </c>
      <c r="M40" s="6" t="str">
        <f ca="1">IFERROR(__xludf.DUMMYFUNCTION("""COMPUTED_VALUE"""),"tri-border area in La Union")</f>
        <v>tri-border area in La Union</v>
      </c>
      <c r="N40" s="6" t="str">
        <f ca="1">IFERROR(__xludf.DUMMYFUNCTION("""COMPUTED_VALUE"""),"In July 2018 President of El Salvador proposed a designed Special Economic Zone (SEZ) which is approximately 14% of El Salvador's area, specifically 26 municipalities through La Union, San Miguel, and Usulutan. This special economic zone includes tax brea"&amp;"ks and incentives for Chinese investment in the area. Developers would be required to invest at least $20 million; Economic Operators required to create at least 200 jobs or invest $5 million in exchange for exemption from import, sales, real estate, and "&amp;"property taxes. (NOTE: image for special economic zone borders in source 67)")</f>
        <v>In July 2018 President of El Salvador proposed a designed Special Economic Zone (SEZ) which is approximately 14% of El Salvador's area, specifically 26 municipalities through La Union, San Miguel, and Usulutan. This special economic zone includes tax breaks and incentives for Chinese investment in the area. Developers would be required to invest at least $20 million; Economic Operators required to create at least 200 jobs or invest $5 million in exchange for exemption from import, sales, real estate, and property taxes. (NOTE: image for special economic zone borders in source 67)</v>
      </c>
      <c r="O40" s="6" t="str">
        <f ca="1">IFERROR(__xludf.DUMMYFUNCTION("""COMPUTED_VALUE"""),"07/00/2018")</f>
        <v>07/00/2018</v>
      </c>
      <c r="P40" s="6" t="str">
        <f ca="1">IFERROR(__xludf.DUMMYFUNCTION("""COMPUTED_VALUE"""),"N/A")</f>
        <v>N/A</v>
      </c>
      <c r="Q40" s="6" t="str">
        <f ca="1">IFERROR(__xludf.DUMMYFUNCTION("""COMPUTED_VALUE"""),"Cancelled")</f>
        <v>Cancelled</v>
      </c>
      <c r="R40" s="6" t="str">
        <f ca="1">IFERROR(__xludf.DUMMYFUNCTION("""COMPUTED_VALUE"""),"SEZ")</f>
        <v>SEZ</v>
      </c>
      <c r="S40" s="9" t="str">
        <f ca="1">IFERROR(__xludf.DUMMYFUNCTION("""COMPUTED_VALUE"""),"https://gist.github.com/micrittenden/18f47b5d217646944e4b9c6b53ecc17f")</f>
        <v>https://gist.github.com/micrittenden/18f47b5d217646944e4b9c6b53ecc17f</v>
      </c>
      <c r="T40" s="6" t="str">
        <f ca="1">IFERROR(__xludf.DUMMYFUNCTION("""COMPUTED_VALUE"""),"BLOB")</f>
        <v>BLOB</v>
      </c>
      <c r="U40" s="6" t="str">
        <f ca="1">IFERROR(__xludf.DUMMYFUNCTION("""COMPUTED_VALUE"""),"Roughly followed map found here: https://www.americasquarterly.org/content/controversy-el-salvador-china.")</f>
        <v>Roughly followed map found here: https://www.americasquarterly.org/content/controversy-el-salvador-china.</v>
      </c>
      <c r="V40" s="6" t="str">
        <f ca="1">IFERROR(__xludf.DUMMYFUNCTION("""COMPUTED_VALUE"""),"No")</f>
        <v>No</v>
      </c>
      <c r="W40" s="6" t="str">
        <f ca="1">IFERROR(__xludf.DUMMYFUNCTION("""COMPUTED_VALUE"""),"NA")</f>
        <v>NA</v>
      </c>
      <c r="X40" s="6" t="str">
        <f ca="1">IFERROR(__xludf.DUMMYFUNCTION("""COMPUTED_VALUE"""),"N/A")</f>
        <v>N/A</v>
      </c>
      <c r="Y40" s="6" t="str">
        <f ca="1">IFERROR(__xludf.DUMMYFUNCTION("""COMPUTED_VALUE"""),"N/A")</f>
        <v>N/A</v>
      </c>
      <c r="Z40" s="6" t="str">
        <f ca="1">IFERROR(__xludf.DUMMYFUNCTION("""COMPUTED_VALUE"""),"N/A")</f>
        <v>N/A</v>
      </c>
      <c r="AA40" s="6"/>
      <c r="AB40" s="6"/>
      <c r="AC40" s="6"/>
      <c r="AD40" s="6"/>
      <c r="AE40" s="6"/>
      <c r="AF40" s="6"/>
      <c r="AG40" s="6"/>
    </row>
    <row r="41" spans="1:33" ht="66" x14ac:dyDescent="0.25">
      <c r="A41" s="6">
        <f ca="1">IFERROR(__xludf.DUMMYFUNCTION("""COMPUTED_VALUE"""),41)</f>
        <v>41</v>
      </c>
      <c r="B41" s="10">
        <f ca="1">IFERROR(__xludf.DUMMYFUNCTION("""COMPUTED_VALUE"""),3)</f>
        <v>3</v>
      </c>
      <c r="C41" s="6" t="str">
        <f ca="1">IFERROR(__xludf.DUMMYFUNCTION("""COMPUTED_VALUE"""),"Investment in social and technological projects")</f>
        <v>Investment in social and technological projects</v>
      </c>
      <c r="D41" s="6" t="str">
        <f ca="1">IFERROR(__xludf.DUMMYFUNCTION("""COMPUTED_VALUE"""),"Other Chinese Institution")</f>
        <v>Other Chinese Institution</v>
      </c>
      <c r="E41" s="6" t="str">
        <f ca="1">IFERROR(__xludf.DUMMYFUNCTION("""COMPUTED_VALUE"""),"N/A")</f>
        <v>N/A</v>
      </c>
      <c r="F41" s="6" t="str">
        <f ca="1">IFERROR(__xludf.DUMMYFUNCTION("""COMPUTED_VALUE"""),"PRC")</f>
        <v>PRC</v>
      </c>
      <c r="G41" s="6">
        <f ca="1">IFERROR(__xludf.DUMMYFUNCTION("""COMPUTED_VALUE"""),2)</f>
        <v>2</v>
      </c>
      <c r="H41" s="6" t="str">
        <f ca="1">IFERROR(__xludf.DUMMYFUNCTION("""COMPUTED_VALUE"""),"Energy - sustainable, Manufacturing / Production, Public Infrastructure")</f>
        <v>Energy - sustainable, Manufacturing / Production, Public Infrastructure</v>
      </c>
      <c r="I41" s="6" t="str">
        <f ca="1">IFERROR(__xludf.DUMMYFUNCTION("""COMPUTED_VALUE"""),"Vague")</f>
        <v>Vague</v>
      </c>
      <c r="J41" s="7" t="str">
        <f ca="1">IFERROR(__xludf.DUMMYFUNCTION("""COMPUTED_VALUE"""),"$150,000,000 USD")</f>
        <v>$150,000,000 USD</v>
      </c>
      <c r="K41" s="6" t="str">
        <f ca="1">IFERROR(__xludf.DUMMYFUNCTION("""COMPUTED_VALUE"""),"SLV")</f>
        <v>SLV</v>
      </c>
      <c r="L41" s="6" t="str">
        <f ca="1">IFERROR(__xludf.DUMMYFUNCTION("""COMPUTED_VALUE"""),"El Salvador")</f>
        <v>El Salvador</v>
      </c>
      <c r="M41" s="6" t="str">
        <f ca="1">IFERROR(__xludf.DUMMYFUNCTION("""COMPUTED_VALUE"""),"N/A")</f>
        <v>N/A</v>
      </c>
      <c r="N41" s="6" t="str">
        <f ca="1">IFERROR(__xludf.DUMMYFUNCTION("""COMPUTED_VALUE"""),"China and El Salvador agree on future 12 joint projects to benefit social and public infrastructure projects including building manufacturing plants, investing in renewable energy, and other social projects. China has also disbursed a US $150 Million doll"&amp;"ar assistance package including buying 10 trucks for the water agency of San Salvador and donated 15,000 laptops to public school systems. Information on the 12 join projects are still very vague and specific plans have not been discussed. Source of funds"&amp;" is unknown.")</f>
        <v>China and El Salvador agree on future 12 joint projects to benefit social and public infrastructure projects including building manufacturing plants, investing in renewable energy, and other social projects. China has also disbursed a US $150 Million dollar assistance package including buying 10 trucks for the water agency of San Salvador and donated 15,000 laptops to public school systems. Information on the 12 join projects are still very vague and specific plans have not been discussed. Source of funds is unknown.</v>
      </c>
      <c r="O41" s="6" t="str">
        <f ca="1">IFERROR(__xludf.DUMMYFUNCTION("""COMPUTED_VALUE"""),"11/00/2018")</f>
        <v>11/00/2018</v>
      </c>
      <c r="P41" s="6" t="str">
        <f ca="1">IFERROR(__xludf.DUMMYFUNCTION("""COMPUTED_VALUE"""),"N/A")</f>
        <v>N/A</v>
      </c>
      <c r="Q41" s="6" t="str">
        <f ca="1">IFERROR(__xludf.DUMMYFUNCTION("""COMPUTED_VALUE"""),"Proposed - formal")</f>
        <v>Proposed - formal</v>
      </c>
      <c r="R41" s="6" t="str">
        <f ca="1">IFERROR(__xludf.DUMMYFUNCTION("""COMPUTED_VALUE"""),"UNM")</f>
        <v>UNM</v>
      </c>
      <c r="S41" s="6" t="str">
        <f ca="1">IFERROR(__xludf.DUMMYFUNCTION("""COMPUTED_VALUE"""),"N/A")</f>
        <v>N/A</v>
      </c>
      <c r="T41" s="6" t="str">
        <f ca="1">IFERROR(__xludf.DUMMYFUNCTION("""COMPUTED_VALUE"""),"UNM")</f>
        <v>UNM</v>
      </c>
      <c r="U41" s="6" t="str">
        <f ca="1">IFERROR(__xludf.DUMMYFUNCTION("""COMPUTED_VALUE"""),"Unmappable")</f>
        <v>Unmappable</v>
      </c>
      <c r="V41" s="6" t="str">
        <f ca="1">IFERROR(__xludf.DUMMYFUNCTION("""COMPUTED_VALUE"""),"No")</f>
        <v>No</v>
      </c>
      <c r="W41" s="6" t="str">
        <f ca="1">IFERROR(__xludf.DUMMYFUNCTION("""COMPUTED_VALUE"""),"NA")</f>
        <v>NA</v>
      </c>
      <c r="X41" s="6" t="str">
        <f ca="1">IFERROR(__xludf.DUMMYFUNCTION("""COMPUTED_VALUE"""),"N/A")</f>
        <v>N/A</v>
      </c>
      <c r="Y41" s="6" t="str">
        <f ca="1">IFERROR(__xludf.DUMMYFUNCTION("""COMPUTED_VALUE"""),"N/A")</f>
        <v>N/A</v>
      </c>
      <c r="Z41" s="6" t="str">
        <f ca="1">IFERROR(__xludf.DUMMYFUNCTION("""COMPUTED_VALUE"""),"N/A")</f>
        <v>N/A</v>
      </c>
      <c r="AA41" s="6"/>
      <c r="AB41" s="6"/>
      <c r="AC41" s="6"/>
      <c r="AD41" s="6"/>
      <c r="AE41" s="6"/>
      <c r="AF41" s="6"/>
      <c r="AG41" s="6"/>
    </row>
    <row r="42" spans="1:33" ht="118.8" x14ac:dyDescent="0.25">
      <c r="A42" s="6">
        <f ca="1">IFERROR(__xludf.DUMMYFUNCTION("""COMPUTED_VALUE"""),42)</f>
        <v>42</v>
      </c>
      <c r="B42" s="10">
        <f ca="1">IFERROR(__xludf.DUMMYFUNCTION("""COMPUTED_VALUE"""),3)</f>
        <v>3</v>
      </c>
      <c r="C42" s="6" t="str">
        <f ca="1">IFERROR(__xludf.DUMMYFUNCTION("""COMPUTED_VALUE"""),"Power Station Project Proposal")</f>
        <v>Power Station Project Proposal</v>
      </c>
      <c r="D42" s="6" t="str">
        <f ca="1">IFERROR(__xludf.DUMMYFUNCTION("""COMPUTED_VALUE"""),"CDB")</f>
        <v>CDB</v>
      </c>
      <c r="E42" s="6" t="str">
        <f ca="1">IFERROR(__xludf.DUMMYFUNCTION("""COMPUTED_VALUE"""),"China Development Bank")</f>
        <v>China Development Bank</v>
      </c>
      <c r="F42" s="6" t="str">
        <f ca="1">IFERROR(__xludf.DUMMYFUNCTION("""COMPUTED_VALUE"""),"China Huayang Economic and Trade Group")</f>
        <v>China Huayang Economic and Trade Group</v>
      </c>
      <c r="G42" s="6">
        <f ca="1">IFERROR(__xludf.DUMMYFUNCTION("""COMPUTED_VALUE"""),1.3)</f>
        <v>1.3</v>
      </c>
      <c r="H42" s="6" t="str">
        <f ca="1">IFERROR(__xludf.DUMMYFUNCTION("""COMPUTED_VALUE"""),"Energy - general")</f>
        <v>Energy - general</v>
      </c>
      <c r="I42" s="6" t="str">
        <f ca="1">IFERROR(__xludf.DUMMYFUNCTION("""COMPUTED_VALUE"""),"Loan")</f>
        <v>Loan</v>
      </c>
      <c r="J42" s="6" t="str">
        <f ca="1">IFERROR(__xludf.DUMMYFUNCTION("""COMPUTED_VALUE"""),"N/A")</f>
        <v>N/A</v>
      </c>
      <c r="K42" s="6" t="str">
        <f ca="1">IFERROR(__xludf.DUMMYFUNCTION("""COMPUTED_VALUE"""),"DOM")</f>
        <v>DOM</v>
      </c>
      <c r="L42" s="6" t="str">
        <f ca="1">IFERROR(__xludf.DUMMYFUNCTION("""COMPUTED_VALUE"""),"Dominican Republic")</f>
        <v>Dominican Republic</v>
      </c>
      <c r="M42" s="6" t="str">
        <f ca="1">IFERROR(__xludf.DUMMYFUNCTION("""COMPUTED_VALUE"""),"Manzanillo, Dominican Republic")</f>
        <v>Manzanillo, Dominican Republic</v>
      </c>
      <c r="N42" s="6" t="str">
        <f ca="1">IFERROR(__xludf.DUMMYFUNCTION("""COMPUTED_VALUE"""),"The Dominican Republic's state electric utility, the CDEEE, is looking for funding of a gas or coal power plant that would burn regasified LNG. The CDEEE has spoken about the plan with China Huayang Economic and Trade Group and signed a document agreeing "&amp;"to listen to the company's proposal, however nothing official has been signed. The government of the Dominican Republic is expected to provide a sovereign guarantee while China Development Bank will provide loans for the project.  However, the cost has no"&amp;"t yet been disclosed.  
Details of the location can be found here: https://www.sourcewatch.org/index.php/Manzanillo_power_station")</f>
        <v>The Dominican Republic's state electric utility, the CDEEE, is looking for funding of a gas or coal power plant that would burn regasified LNG. The CDEEE has spoken about the plan with China Huayang Economic and Trade Group and signed a document agreeing to listen to the company's proposal, however nothing official has been signed. The government of the Dominican Republic is expected to provide a sovereign guarantee while China Development Bank will provide loans for the project.  However, the cost has not yet been disclosed.  
Details of the location can be found here: https://www.sourcewatch.org/index.php/Manzanillo_power_station</v>
      </c>
      <c r="O42" s="6" t="str">
        <f ca="1">IFERROR(__xludf.DUMMYFUNCTION("""COMPUTED_VALUE"""),"N/A")</f>
        <v>N/A</v>
      </c>
      <c r="P42" s="6" t="str">
        <f ca="1">IFERROR(__xludf.DUMMYFUNCTION("""COMPUTED_VALUE"""),"N/A")</f>
        <v>N/A</v>
      </c>
      <c r="Q42" s="6" t="str">
        <f ca="1">IFERROR(__xludf.DUMMYFUNCTION("""COMPUTED_VALUE"""),"Proposed - informal")</f>
        <v>Proposed - informal</v>
      </c>
      <c r="R42" s="6" t="str">
        <f ca="1">IFERROR(__xludf.DUMMYFUNCTION("""COMPUTED_VALUE"""),"PS")</f>
        <v>PS</v>
      </c>
      <c r="S42" s="9" t="str">
        <f ca="1">IFERROR(__xludf.DUMMYFUNCTION("""COMPUTED_VALUE"""),"https://gist.github.com/mayadeutchman/33d4c1a486450aaa769b7c561754f68d")</f>
        <v>https://gist.github.com/mayadeutchman/33d4c1a486450aaa769b7c561754f68d</v>
      </c>
      <c r="T42" s="6" t="str">
        <f ca="1">IFERROR(__xludf.DUMMYFUNCTION("""COMPUTED_VALUE"""),"BLOB")</f>
        <v>BLOB</v>
      </c>
      <c r="U42" s="6" t="str">
        <f ca="1">IFERROR(__xludf.DUMMYFUNCTION("""COMPUTED_VALUE"""),"19.706956, -71.743027: Point from https://www.gem.wiki/Manzanillo_power_station and coordinates provided by google maps. Used satellite imagery and followed google maps to geocode")</f>
        <v>19.706956, -71.743027: Point from https://www.gem.wiki/Manzanillo_power_station and coordinates provided by google maps. Used satellite imagery and followed google maps to geocode</v>
      </c>
      <c r="V42" s="6" t="str">
        <f ca="1">IFERROR(__xludf.DUMMYFUNCTION("""COMPUTED_VALUE"""),"Yes (Both)")</f>
        <v>Yes (Both)</v>
      </c>
      <c r="W42" s="6" t="str">
        <f ca="1">IFERROR(__xludf.DUMMYFUNCTION("""COMPUTED_VALUE"""),"Monte Cristi")</f>
        <v>Monte Cristi</v>
      </c>
      <c r="X42" s="6" t="str">
        <f ca="1">IFERROR(__xludf.DUMMYFUNCTION("""COMPUTED_VALUE"""),"05/26/2018,
04/22/2019,
09/17/2019")</f>
        <v>05/26/2018,
04/22/2019,
09/17/2019</v>
      </c>
      <c r="Y42" s="6" t="str">
        <f ca="1">IFERROR(__xludf.DUMMYFUNCTION("""COMPUTED_VALUE"""),"This imagery comes from the location where the construction of a gas/coal power station has been proposed.  The project still has not been officially undertaken so we may not expect to see any changes in the imagery.  It is worth noting, however, that the"&amp;"re appears to be a change to the port from April 2019 to the recent image in September 2019.")</f>
        <v>This imagery comes from the location where the construction of a gas/coal power station has been proposed.  The project still has not been officially undertaken so we may not expect to see any changes in the imagery.  It is worth noting, however, that there appears to be a change to the port from April 2019 to the recent image in September 2019.</v>
      </c>
      <c r="Z42" s="6"/>
      <c r="AA42" s="6"/>
      <c r="AB42" s="6"/>
      <c r="AC42" s="6"/>
      <c r="AD42" s="6"/>
      <c r="AE42" s="6"/>
      <c r="AF42" s="6"/>
      <c r="AG42" s="6"/>
    </row>
    <row r="43" spans="1:33" ht="39.6" x14ac:dyDescent="0.25">
      <c r="A43" s="6">
        <f ca="1">IFERROR(__xludf.DUMMYFUNCTION("""COMPUTED_VALUE"""),43)</f>
        <v>43</v>
      </c>
      <c r="B43" s="10">
        <f ca="1">IFERROR(__xludf.DUMMYFUNCTION("""COMPUTED_VALUE"""),4)</f>
        <v>4</v>
      </c>
      <c r="C43" s="6" t="str">
        <f ca="1">IFERROR(__xludf.DUMMYFUNCTION("""COMPUTED_VALUE"""),"Bellomonte Hotel and Golf Course")</f>
        <v>Bellomonte Hotel and Golf Course</v>
      </c>
      <c r="D43" s="6" t="str">
        <f ca="1">IFERROR(__xludf.DUMMYFUNCTION("""COMPUTED_VALUE"""),"Other Chinese Institution")</f>
        <v>Other Chinese Institution</v>
      </c>
      <c r="E43" s="6" t="str">
        <f ca="1">IFERROR(__xludf.DUMMYFUNCTION("""COMPUTED_VALUE"""),"Beijing Enterprises Holdings Ltd")</f>
        <v>Beijing Enterprises Holdings Ltd</v>
      </c>
      <c r="F43" s="6" t="str">
        <f ca="1">IFERROR(__xludf.DUMMYFUNCTION("""COMPUTED_VALUE"""),"EKISTICS")</f>
        <v>EKISTICS</v>
      </c>
      <c r="G43" s="6">
        <f ca="1">IFERROR(__xludf.DUMMYFUNCTION("""COMPUTED_VALUE"""),1.3)</f>
        <v>1.3</v>
      </c>
      <c r="H43" s="6" t="str">
        <f ca="1">IFERROR(__xludf.DUMMYFUNCTION("""COMPUTED_VALUE"""),"Tourism")</f>
        <v>Tourism</v>
      </c>
      <c r="I43" s="6" t="str">
        <f ca="1">IFERROR(__xludf.DUMMYFUNCTION("""COMPUTED_VALUE"""),"Contract")</f>
        <v>Contract</v>
      </c>
      <c r="J43" s="6" t="str">
        <f ca="1">IFERROR(__xludf.DUMMYFUNCTION("""COMPUTED_VALUE"""),"$500,000,000 USD")</f>
        <v>$500,000,000 USD</v>
      </c>
      <c r="K43" s="6" t="str">
        <f ca="1">IFERROR(__xludf.DUMMYFUNCTION("""COMPUTED_VALUE"""),"CUB")</f>
        <v>CUB</v>
      </c>
      <c r="L43" s="6" t="str">
        <f ca="1">IFERROR(__xludf.DUMMYFUNCTION("""COMPUTED_VALUE"""),"Cuba")</f>
        <v>Cuba</v>
      </c>
      <c r="M43" s="6" t="str">
        <f ca="1">IFERROR(__xludf.DUMMYFUNCTION("""COMPUTED_VALUE"""),"Bellomonte, Cuba")</f>
        <v>Bellomonte, Cuba</v>
      </c>
      <c r="N43" s="6" t="str">
        <f ca="1">IFERROR(__xludf.DUMMYFUNCTION("""COMPUTED_VALUE"""),"This is a Cuban-Chinese joint venture for the construction of a large hotel-apartment complex and a 36-hole professional golf course in an area called Bellomonte east of Havana. This investment is over 500 million U.S. dollars.  Currently they are finishi"&amp;"ng up the architectural project and feasibility studies which are vital to continue and begin construction works in 2020.")</f>
        <v>This is a Cuban-Chinese joint venture for the construction of a large hotel-apartment complex and a 36-hole professional golf course in an area called Bellomonte east of Havana. This investment is over 500 million U.S. dollars.  Currently they are finishing up the architectural project and feasibility studies which are vital to continue and begin construction works in 2020.</v>
      </c>
      <c r="O43" s="12">
        <f ca="1">IFERROR(__xludf.DUMMYFUNCTION("""COMPUTED_VALUE"""),43518)</f>
        <v>43518</v>
      </c>
      <c r="P43" s="6" t="str">
        <f ca="1">IFERROR(__xludf.DUMMYFUNCTION("""COMPUTED_VALUE"""),"01/00/2020")</f>
        <v>01/00/2020</v>
      </c>
      <c r="Q43" s="6" t="str">
        <f ca="1">IFERROR(__xludf.DUMMYFUNCTION("""COMPUTED_VALUE"""),"Proposed - formal")</f>
        <v>Proposed - formal</v>
      </c>
      <c r="R43" s="6" t="str">
        <f ca="1">IFERROR(__xludf.DUMMYFUNCTION("""COMPUTED_VALUE"""),"RECG")</f>
        <v>RECG</v>
      </c>
      <c r="S43" s="9" t="str">
        <f ca="1">IFERROR(__xludf.DUMMYFUNCTION("""COMPUTED_VALUE"""),"https://gist.github.com/mayadeutchman/a51d380afdd7615bd19502d294b7b4a5")</f>
        <v>https://gist.github.com/mayadeutchman/a51d380afdd7615bd19502d294b7b4a5</v>
      </c>
      <c r="T43" s="6" t="str">
        <f ca="1">IFERROR(__xludf.DUMMYFUNCTION("""COMPUTED_VALUE"""),"PPL")</f>
        <v>PPL</v>
      </c>
      <c r="U43" s="6" t="str">
        <f ca="1">IFERROR(__xludf.DUMMYFUNCTION("""COMPUTED_VALUE"""),"Used satellite imagery and followed google maps to code up to the town of Guanabo")</f>
        <v>Used satellite imagery and followed google maps to code up to the town of Guanabo</v>
      </c>
      <c r="V43" s="6" t="str">
        <f ca="1">IFERROR(__xludf.DUMMYFUNCTION("""COMPUTED_VALUE"""),"Yes (Both)")</f>
        <v>Yes (Both)</v>
      </c>
      <c r="W43" s="6" t="str">
        <f ca="1">IFERROR(__xludf.DUMMYFUNCTION("""COMPUTED_VALUE"""),"Havana")</f>
        <v>Havana</v>
      </c>
      <c r="X43" s="6"/>
      <c r="Y43" s="6"/>
      <c r="Z43" s="6"/>
      <c r="AA43" s="6"/>
      <c r="AB43" s="6"/>
      <c r="AC43" s="6"/>
      <c r="AD43" s="6"/>
      <c r="AE43" s="6"/>
      <c r="AF43" s="6"/>
      <c r="AG43" s="6"/>
    </row>
    <row r="44" spans="1:33" ht="132" x14ac:dyDescent="0.25">
      <c r="A44" s="6">
        <f ca="1">IFERROR(__xludf.DUMMYFUNCTION("""COMPUTED_VALUE"""),44)</f>
        <v>44</v>
      </c>
      <c r="B44" s="10">
        <f ca="1">IFERROR(__xludf.DUMMYFUNCTION("""COMPUTED_VALUE"""),2)</f>
        <v>2</v>
      </c>
      <c r="C44" s="6" t="str">
        <f ca="1">IFERROR(__xludf.DUMMYFUNCTION("""COMPUTED_VALUE"""),"Loma Linda Golf Course and Real Estate Project")</f>
        <v>Loma Linda Golf Course and Real Estate Project</v>
      </c>
      <c r="D44" s="6" t="str">
        <f ca="1">IFERROR(__xludf.DUMMYFUNCTION("""COMPUTED_VALUE"""),"Other Chinese Institution")</f>
        <v>Other Chinese Institution</v>
      </c>
      <c r="E44" s="6" t="str">
        <f ca="1">IFERROR(__xludf.DUMMYFUNCTION("""COMPUTED_VALUE"""),"N/A")</f>
        <v>N/A</v>
      </c>
      <c r="F44" s="6" t="str">
        <f ca="1">IFERROR(__xludf.DUMMYFUNCTION("""COMPUTED_VALUE"""),"N/A")</f>
        <v>N/A</v>
      </c>
      <c r="G44" s="6">
        <f ca="1">IFERROR(__xludf.DUMMYFUNCTION("""COMPUTED_VALUE"""),1.3)</f>
        <v>1.3</v>
      </c>
      <c r="H44" s="6" t="str">
        <f ca="1">IFERROR(__xludf.DUMMYFUNCTION("""COMPUTED_VALUE"""),"Tourism")</f>
        <v>Tourism</v>
      </c>
      <c r="I44" s="6" t="str">
        <f ca="1">IFERROR(__xludf.DUMMYFUNCTION("""COMPUTED_VALUE"""),"Proposal")</f>
        <v>Proposal</v>
      </c>
      <c r="J44" s="6" t="str">
        <f ca="1">IFERROR(__xludf.DUMMYFUNCTION("""COMPUTED_VALUE"""),"N/A")</f>
        <v>N/A</v>
      </c>
      <c r="K44" s="6" t="str">
        <f ca="1">IFERROR(__xludf.DUMMYFUNCTION("""COMPUTED_VALUE"""),"CUB")</f>
        <v>CUB</v>
      </c>
      <c r="L44" s="6" t="str">
        <f ca="1">IFERROR(__xludf.DUMMYFUNCTION("""COMPUTED_VALUE"""),"Cuba")</f>
        <v>Cuba</v>
      </c>
      <c r="M44" s="6" t="str">
        <f ca="1">IFERROR(__xludf.DUMMYFUNCTION("""COMPUTED_VALUE"""),"Loma Linda, Holguin, Cuba")</f>
        <v>Loma Linda, Holguin, Cuba</v>
      </c>
      <c r="N44" s="6" t="str">
        <f ca="1">IFERROR(__xludf.DUMMYFUNCTION("""COMPUTED_VALUE"""),"Jose Alonso, the Director of Business Development at Cuba’s Ministry of Tourism announced another Chinese company has been very interested in a new real estate project and golf course in Loma Linda, in the eastern province of Holguin, about 735 km east of"&amp;" Havana.")</f>
        <v>Jose Alonso, the Director of Business Development at Cuba’s Ministry of Tourism announced another Chinese company has been very interested in a new real estate project and golf course in Loma Linda, in the eastern province of Holguin, about 735 km east of Havana.</v>
      </c>
      <c r="O44" s="12">
        <f ca="1">IFERROR(__xludf.DUMMYFUNCTION("""COMPUTED_VALUE"""),43595)</f>
        <v>43595</v>
      </c>
      <c r="P44" s="6" t="str">
        <f ca="1">IFERROR(__xludf.DUMMYFUNCTION("""COMPUTED_VALUE"""),"N/A")</f>
        <v>N/A</v>
      </c>
      <c r="Q44" s="6" t="str">
        <f ca="1">IFERROR(__xludf.DUMMYFUNCTION("""COMPUTED_VALUE"""),"Proposed - informal")</f>
        <v>Proposed - informal</v>
      </c>
      <c r="R44" s="6" t="str">
        <f ca="1">IFERROR(__xludf.DUMMYFUNCTION("""COMPUTED_VALUE"""),"RECG")</f>
        <v>RECG</v>
      </c>
      <c r="S44" s="9" t="str">
        <f ca="1">IFERROR(__xludf.DUMMYFUNCTION("""COMPUTED_VALUE"""),"https://gist.github.com/micrittenden/d5766c17fdf16d2e21dc7d3f68f3008d")</f>
        <v>https://gist.github.com/micrittenden/d5766c17fdf16d2e21dc7d3f68f3008d</v>
      </c>
      <c r="T44" s="6" t="str">
        <f ca="1">IFERROR(__xludf.DUMMYFUNCTION("""COMPUTED_VALUE"""),"PPL")</f>
        <v>PPL</v>
      </c>
      <c r="U44" s="6" t="str">
        <f ca="1">IFERROR(__xludf.DUMMYFUNCTION("""COMPUTED_VALUE"""),"Googled ""Loma Linda in Holguin"", identified a company that showed interest in the project and used their facebook to find the town where the course was supposed to be. https://www.facebook.com/ekisticsstudio/photos/team-cuba-on-a-site-visit-for-our-loma"&amp;"-linda-golf-resort-project-in-holguin-cuba/1388872981179910. Geocoded up to the town of Guardalavaca using Google Maps and satellite imagery.")</f>
        <v>Googled "Loma Linda in Holguin", identified a company that showed interest in the project and used their facebook to find the town where the course was supposed to be. https://www.facebook.com/ekisticsstudio/photos/team-cuba-on-a-site-visit-for-our-loma-linda-golf-resort-project-in-holguin-cuba/1388872981179910. Geocoded up to the town of Guardalavaca using Google Maps and satellite imagery.</v>
      </c>
      <c r="V44" s="6" t="str">
        <f ca="1">IFERROR(__xludf.DUMMYFUNCTION("""COMPUTED_VALUE"""),"Yes (Both)")</f>
        <v>Yes (Both)</v>
      </c>
      <c r="W44" s="6" t="str">
        <f ca="1">IFERROR(__xludf.DUMMYFUNCTION("""COMPUTED_VALUE"""),"Holguin")</f>
        <v>Holguin</v>
      </c>
      <c r="X44" s="6"/>
      <c r="Y44" s="6"/>
      <c r="Z44" s="6"/>
      <c r="AA44" s="6"/>
      <c r="AB44" s="6"/>
      <c r="AC44" s="6"/>
      <c r="AD44" s="6"/>
      <c r="AE44" s="6"/>
      <c r="AF44" s="6"/>
      <c r="AG44" s="6"/>
    </row>
    <row r="45" spans="1:33" ht="79.2" x14ac:dyDescent="0.25">
      <c r="A45" s="6">
        <f ca="1">IFERROR(__xludf.DUMMYFUNCTION("""COMPUTED_VALUE"""),45)</f>
        <v>45</v>
      </c>
      <c r="B45" s="10">
        <f ca="1">IFERROR(__xludf.DUMMYFUNCTION("""COMPUTED_VALUE"""),2)</f>
        <v>2</v>
      </c>
      <c r="C45" s="6" t="str">
        <f ca="1">IFERROR(__xludf.DUMMYFUNCTION("""COMPUTED_VALUE"""),"Geochemical Mapping Project")</f>
        <v>Geochemical Mapping Project</v>
      </c>
      <c r="D45" s="6" t="str">
        <f ca="1">IFERROR(__xludf.DUMMYFUNCTION("""COMPUTED_VALUE"""),"Other Chinese Institution")</f>
        <v>Other Chinese Institution</v>
      </c>
      <c r="E45" s="6" t="str">
        <f ca="1">IFERROR(__xludf.DUMMYFUNCTION("""COMPUTED_VALUE"""),"Cuban Institute of Geology and Paleontology, China Geological Survey ")</f>
        <v xml:space="preserve">Cuban Institute of Geology and Paleontology, China Geological Survey </v>
      </c>
      <c r="F45" s="6" t="str">
        <f ca="1">IFERROR(__xludf.DUMMYFUNCTION("""COMPUTED_VALUE"""),"China Geological Survey, Cuba's Institute of Geology and Paleontology (IGP),  Petroleum Research Center (CEINPET)")</f>
        <v>China Geological Survey, Cuba's Institute of Geology and Paleontology (IGP),  Petroleum Research Center (CEINPET)</v>
      </c>
      <c r="G45" s="6">
        <f ca="1">IFERROR(__xludf.DUMMYFUNCTION("""COMPUTED_VALUE"""),2)</f>
        <v>2</v>
      </c>
      <c r="H45" s="6" t="str">
        <f ca="1">IFERROR(__xludf.DUMMYFUNCTION("""COMPUTED_VALUE"""),"Natural Resources")</f>
        <v>Natural Resources</v>
      </c>
      <c r="I45" s="6" t="str">
        <f ca="1">IFERROR(__xludf.DUMMYFUNCTION("""COMPUTED_VALUE"""),"Vague")</f>
        <v>Vague</v>
      </c>
      <c r="J45" s="6" t="str">
        <f ca="1">IFERROR(__xludf.DUMMYFUNCTION("""COMPUTED_VALUE"""),"N/A")</f>
        <v>N/A</v>
      </c>
      <c r="K45" s="6" t="str">
        <f ca="1">IFERROR(__xludf.DUMMYFUNCTION("""COMPUTED_VALUE"""),"CUB")</f>
        <v>CUB</v>
      </c>
      <c r="L45" s="6" t="str">
        <f ca="1">IFERROR(__xludf.DUMMYFUNCTION("""COMPUTED_VALUE"""),"Cuba")</f>
        <v>Cuba</v>
      </c>
      <c r="M45" s="6" t="str">
        <f ca="1">IFERROR(__xludf.DUMMYFUNCTION("""COMPUTED_VALUE"""),"Country-Wide and Offshore")</f>
        <v>Country-Wide and Offshore</v>
      </c>
      <c r="N45" s="6" t="str">
        <f ca="1">IFERROR(__xludf.DUMMYFUNCTION("""COMPUTED_VALUE"""),"CGS and the Cuba's Institute of Geology and Paleontology (IGP) signed a memorandum of understanding for a collaborative project  to create a geochemical map of all of Cuba and the surrounding waters with a focus on geophysical exploration, geochemistry, o"&amp;"il and gas assessment, as well as the exploration and evaluation of minerals such as nickel and chromium. The project will be in collaboration between CGS, IGP, and the Petroleum Research Center (CEINPET).")</f>
        <v>CGS and the Cuba's Institute of Geology and Paleontology (IGP) signed a memorandum of understanding for a collaborative project  to create a geochemical map of all of Cuba and the surrounding waters with a focus on geophysical exploration, geochemistry, oil and gas assessment, as well as the exploration and evaluation of minerals such as nickel and chromium. The project will be in collaboration between CGS, IGP, and the Petroleum Research Center (CEINPET).</v>
      </c>
      <c r="O45" s="12">
        <f ca="1">IFERROR(__xludf.DUMMYFUNCTION("""COMPUTED_VALUE"""),43550)</f>
        <v>43550</v>
      </c>
      <c r="P45" s="6" t="str">
        <f ca="1">IFERROR(__xludf.DUMMYFUNCTION("""COMPUTED_VALUE"""),"N/A")</f>
        <v>N/A</v>
      </c>
      <c r="Q45" s="6" t="str">
        <f ca="1">IFERROR(__xludf.DUMMYFUNCTION("""COMPUTED_VALUE"""),"In Progress - non-construction ")</f>
        <v xml:space="preserve">In Progress - non-construction </v>
      </c>
      <c r="R45" s="6" t="str">
        <f ca="1">IFERROR(__xludf.DUMMYFUNCTION("""COMPUTED_VALUE"""),"PCLI")</f>
        <v>PCLI</v>
      </c>
      <c r="S45" s="6" t="str">
        <f ca="1">IFERROR(__xludf.DUMMYFUNCTION("""COMPUTED_VALUE"""),"CUB_ADM0_2_0_1_0")</f>
        <v>CUB_ADM0_2_0_1_0</v>
      </c>
      <c r="T45" s="6" t="str">
        <f ca="1">IFERROR(__xludf.DUMMYFUNCTION("""COMPUTED_VALUE"""),"PCLI")</f>
        <v>PCLI</v>
      </c>
      <c r="U45" s="6" t="str">
        <f ca="1">IFERROR(__xludf.DUMMYFUNCTION("""COMPUTED_VALUE"""),"Geocoded up to the country as it is a country wide project")</f>
        <v>Geocoded up to the country as it is a country wide project</v>
      </c>
      <c r="V45" s="6" t="str">
        <f ca="1">IFERROR(__xludf.DUMMYFUNCTION("""COMPUTED_VALUE"""),"No")</f>
        <v>No</v>
      </c>
      <c r="W45" s="6" t="str">
        <f ca="1">IFERROR(__xludf.DUMMYFUNCTION("""COMPUTED_VALUE"""),"NA")</f>
        <v>NA</v>
      </c>
      <c r="X45" s="6" t="str">
        <f ca="1">IFERROR(__xludf.DUMMYFUNCTION("""COMPUTED_VALUE"""),"N/A")</f>
        <v>N/A</v>
      </c>
      <c r="Y45" s="6" t="str">
        <f ca="1">IFERROR(__xludf.DUMMYFUNCTION("""COMPUTED_VALUE"""),"N/A")</f>
        <v>N/A</v>
      </c>
      <c r="Z45" s="6" t="str">
        <f ca="1">IFERROR(__xludf.DUMMYFUNCTION("""COMPUTED_VALUE"""),"N/A")</f>
        <v>N/A</v>
      </c>
      <c r="AA45" s="6"/>
      <c r="AB45" s="6"/>
      <c r="AC45" s="6"/>
      <c r="AD45" s="6"/>
      <c r="AE45" s="6"/>
      <c r="AF45" s="6"/>
      <c r="AG45" s="6"/>
    </row>
    <row r="46" spans="1:33" ht="66" x14ac:dyDescent="0.25">
      <c r="A46" s="6">
        <f ca="1">IFERROR(__xludf.DUMMYFUNCTION("""COMPUTED_VALUE"""),46)</f>
        <v>46</v>
      </c>
      <c r="B46" s="10">
        <f ca="1">IFERROR(__xludf.DUMMYFUNCTION("""COMPUTED_VALUE"""),2)</f>
        <v>2</v>
      </c>
      <c r="C46" s="6" t="str">
        <f ca="1">IFERROR(__xludf.DUMMYFUNCTION("""COMPUTED_VALUE"""),"Hemingway Hotel")</f>
        <v>Hemingway Hotel</v>
      </c>
      <c r="D46" s="6" t="str">
        <f ca="1">IFERROR(__xludf.DUMMYFUNCTION("""COMPUTED_VALUE"""),"Other Chinese Institution")</f>
        <v>Other Chinese Institution</v>
      </c>
      <c r="E46" s="6" t="str">
        <f ca="1">IFERROR(__xludf.DUMMYFUNCTION("""COMPUTED_VALUE"""),"Suntine International Enterprise")</f>
        <v>Suntine International Enterprise</v>
      </c>
      <c r="F46" s="6" t="str">
        <f ca="1">IFERROR(__xludf.DUMMYFUNCTION("""COMPUTED_VALUE"""),"Citic Construction, Suntine International-Economic Trading Company, Cubanacan Hotel Group")</f>
        <v>Citic Construction, Suntine International-Economic Trading Company, Cubanacan Hotel Group</v>
      </c>
      <c r="G46" s="6">
        <f ca="1">IFERROR(__xludf.DUMMYFUNCTION("""COMPUTED_VALUE"""),1.3)</f>
        <v>1.3</v>
      </c>
      <c r="H46" s="6" t="str">
        <f ca="1">IFERROR(__xludf.DUMMYFUNCTION("""COMPUTED_VALUE"""),"Tourism")</f>
        <v>Tourism</v>
      </c>
      <c r="I46" s="6" t="str">
        <f ca="1">IFERROR(__xludf.DUMMYFUNCTION("""COMPUTED_VALUE"""),"Joint Venture")</f>
        <v>Joint Venture</v>
      </c>
      <c r="J46" s="6" t="str">
        <f ca="1">IFERROR(__xludf.DUMMYFUNCTION("""COMPUTED_VALUE"""),"$150,000,000 USD")</f>
        <v>$150,000,000 USD</v>
      </c>
      <c r="K46" s="6" t="str">
        <f ca="1">IFERROR(__xludf.DUMMYFUNCTION("""COMPUTED_VALUE"""),"CUB")</f>
        <v>CUB</v>
      </c>
      <c r="L46" s="6" t="str">
        <f ca="1">IFERROR(__xludf.DUMMYFUNCTION("""COMPUTED_VALUE"""),"Cuba")</f>
        <v>Cuba</v>
      </c>
      <c r="M46" s="6" t="str">
        <f ca="1">IFERROR(__xludf.DUMMYFUNCTION("""COMPUTED_VALUE"""),"Hemingway Marina, Havana, Cuba")</f>
        <v>Hemingway Marina, Havana, Cuba</v>
      </c>
      <c r="N46" s="6" t="str">
        <f ca="1">IFERROR(__xludf.DUMMYFUNCTION("""COMPUTED_VALUE""")," Suntine International-Economic Trading Company of China and Cubanacan hotel group are partnering in a joint-venture to construct a 600-room luxury hotel. Suntine, with a 49 percent stake, is providing $150 million for the Hemingway Hotel project. Cubanac"&amp;"an, with 51 percent ownership, is providing the land and other resources. The hotel was first proposed in 2008, with negotiations picking back up in 2016 and 2018.")</f>
        <v xml:space="preserve"> Suntine International-Economic Trading Company of China and Cubanacan hotel group are partnering in a joint-venture to construct a 600-room luxury hotel. Suntine, with a 49 percent stake, is providing $150 million for the Hemingway Hotel project. Cubanacan, with 51 percent ownership, is providing the land and other resources. The hotel was first proposed in 2008, with negotiations picking back up in 2016 and 2018.</v>
      </c>
      <c r="O46" s="6" t="str">
        <f ca="1">IFERROR(__xludf.DUMMYFUNCTION("""COMPUTED_VALUE"""),"11/00/2008")</f>
        <v>11/00/2008</v>
      </c>
      <c r="P46" s="6" t="str">
        <f ca="1">IFERROR(__xludf.DUMMYFUNCTION("""COMPUTED_VALUE"""),"N/A")</f>
        <v>N/A</v>
      </c>
      <c r="Q46" s="6" t="str">
        <f ca="1">IFERROR(__xludf.DUMMYFUNCTION("""COMPUTED_VALUE"""),"Proposed - formal")</f>
        <v>Proposed - formal</v>
      </c>
      <c r="R46" s="6" t="str">
        <f ca="1">IFERROR(__xludf.DUMMYFUNCTION("""COMPUTED_VALUE"""),"HTL")</f>
        <v>HTL</v>
      </c>
      <c r="S46" s="9" t="str">
        <f ca="1">IFERROR(__xludf.DUMMYFUNCTION("""COMPUTED_VALUE"""),"https://gist.github.com/micrittenden/f1ccc0bf989cb364357fc5602a5c368e")</f>
        <v>https://gist.github.com/micrittenden/f1ccc0bf989cb364357fc5602a5c368e</v>
      </c>
      <c r="T46" s="6" t="str">
        <f ca="1">IFERROR(__xludf.DUMMYFUNCTION("""COMPUTED_VALUE"""),"BLOB")</f>
        <v>BLOB</v>
      </c>
      <c r="U46" s="6" t="str">
        <f ca="1">IFERROR(__xludf.DUMMYFUNCTION("""COMPUTED_VALUE"""),"Used the sources and followed google maps")</f>
        <v>Used the sources and followed google maps</v>
      </c>
      <c r="V46" s="6" t="str">
        <f ca="1">IFERROR(__xludf.DUMMYFUNCTION("""COMPUTED_VALUE"""),"Yes (Both)")</f>
        <v>Yes (Both)</v>
      </c>
      <c r="W46" s="6" t="str">
        <f ca="1">IFERROR(__xludf.DUMMYFUNCTION("""COMPUTED_VALUE"""),"Havana")</f>
        <v>Havana</v>
      </c>
      <c r="X46" s="6"/>
      <c r="Y46" s="6"/>
      <c r="Z46" s="6" t="str">
        <f ca="1">IFERROR(__xludf.DUMMYFUNCTION("""COMPUTED_VALUE"""),"LAT: 23.0911 LON: -82.50363")</f>
        <v>LAT: 23.0911 LON: -82.50363</v>
      </c>
      <c r="AA46" s="6"/>
      <c r="AB46" s="6"/>
      <c r="AC46" s="6"/>
      <c r="AD46" s="6"/>
      <c r="AE46" s="6"/>
      <c r="AF46" s="6"/>
      <c r="AG46" s="6"/>
    </row>
    <row r="47" spans="1:33" ht="39.6" x14ac:dyDescent="0.25">
      <c r="A47" s="6">
        <f ca="1">IFERROR(__xludf.DUMMYFUNCTION("""COMPUTED_VALUE"""),47)</f>
        <v>47</v>
      </c>
      <c r="B47" s="10">
        <f ca="1">IFERROR(__xludf.DUMMYFUNCTION("""COMPUTED_VALUE"""),2)</f>
        <v>2</v>
      </c>
      <c r="C47" s="6" t="str">
        <f ca="1">IFERROR(__xludf.DUMMYFUNCTION("""COMPUTED_VALUE"""),"Rental Car Order")</f>
        <v>Rental Car Order</v>
      </c>
      <c r="D47" s="6" t="str">
        <f ca="1">IFERROR(__xludf.DUMMYFUNCTION("""COMPUTED_VALUE"""),"Other Institution")</f>
        <v>Other Institution</v>
      </c>
      <c r="E47" s="6" t="str">
        <f ca="1">IFERROR(__xludf.DUMMYFUNCTION("""COMPUTED_VALUE"""),"Govt. of Cuba")</f>
        <v>Govt. of Cuba</v>
      </c>
      <c r="F47" s="6" t="str">
        <f ca="1">IFERROR(__xludf.DUMMYFUNCTION("""COMPUTED_VALUE"""),"BYD Co Ltd")</f>
        <v>BYD Co Ltd</v>
      </c>
      <c r="G47" s="6">
        <f ca="1">IFERROR(__xludf.DUMMYFUNCTION("""COMPUTED_VALUE"""),11)</f>
        <v>11</v>
      </c>
      <c r="H47" s="6" t="str">
        <f ca="1">IFERROR(__xludf.DUMMYFUNCTION("""COMPUTED_VALUE"""),"Tourism")</f>
        <v>Tourism</v>
      </c>
      <c r="I47" s="6" t="str">
        <f ca="1">IFERROR(__xludf.DUMMYFUNCTION("""COMPUTED_VALUE"""),"Purchase")</f>
        <v>Purchase</v>
      </c>
      <c r="J47" s="6" t="str">
        <f ca="1">IFERROR(__xludf.DUMMYFUNCTION("""COMPUTED_VALUE"""),"N/A")</f>
        <v>N/A</v>
      </c>
      <c r="K47" s="6" t="str">
        <f ca="1">IFERROR(__xludf.DUMMYFUNCTION("""COMPUTED_VALUE"""),"CUB")</f>
        <v>CUB</v>
      </c>
      <c r="L47" s="6" t="str">
        <f ca="1">IFERROR(__xludf.DUMMYFUNCTION("""COMPUTED_VALUE"""),"Cuba")</f>
        <v>Cuba</v>
      </c>
      <c r="M47" s="6" t="str">
        <f ca="1">IFERROR(__xludf.DUMMYFUNCTION("""COMPUTED_VALUE"""),"Country-Wide")</f>
        <v>Country-Wide</v>
      </c>
      <c r="N47" s="6" t="str">
        <f ca="1">IFERROR(__xludf.DUMMYFUNCTION("""COMPUTED_VALUE"""),"BYD received an order for a fleet of 719 tourist rental vehicles from Cuba on July 3, the largest vehicle order in the Cuba market. All vehicles will consist of Suri, L3, G6 sedans, S6 suv, and M6 MPV. BYD, backed by Warren Buffett’s Berkshire Hathaway In"&amp;"c., who declined to immediately give a value for the deal.")</f>
        <v>BYD received an order for a fleet of 719 tourist rental vehicles from Cuba on July 3, the largest vehicle order in the Cuba market. All vehicles will consist of Suri, L3, G6 sedans, S6 suv, and M6 MPV. BYD, backed by Warren Buffett’s Berkshire Hathaway Inc., who declined to immediately give a value for the deal.</v>
      </c>
      <c r="O47" s="12">
        <f ca="1">IFERROR(__xludf.DUMMYFUNCTION("""COMPUTED_VALUE"""),42188)</f>
        <v>42188</v>
      </c>
      <c r="P47" s="6" t="str">
        <f ca="1">IFERROR(__xludf.DUMMYFUNCTION("""COMPUTED_VALUE"""),"N/A")</f>
        <v>N/A</v>
      </c>
      <c r="Q47" s="6" t="str">
        <f ca="1">IFERROR(__xludf.DUMMYFUNCTION("""COMPUTED_VALUE"""),"Completed")</f>
        <v>Completed</v>
      </c>
      <c r="R47" s="6" t="str">
        <f ca="1">IFERROR(__xludf.DUMMYFUNCTION("""COMPUTED_VALUE"""),"UNM")</f>
        <v>UNM</v>
      </c>
      <c r="S47" s="6" t="str">
        <f ca="1">IFERROR(__xludf.DUMMYFUNCTION("""COMPUTED_VALUE"""),"N/A")</f>
        <v>N/A</v>
      </c>
      <c r="T47" s="6" t="str">
        <f ca="1">IFERROR(__xludf.DUMMYFUNCTION("""COMPUTED_VALUE"""),"UNM")</f>
        <v>UNM</v>
      </c>
      <c r="U47" s="6" t="str">
        <f ca="1">IFERROR(__xludf.DUMMYFUNCTION("""COMPUTED_VALUE"""),"Unmappable")</f>
        <v>Unmappable</v>
      </c>
      <c r="V47" s="6" t="str">
        <f ca="1">IFERROR(__xludf.DUMMYFUNCTION("""COMPUTED_VALUE"""),"No")</f>
        <v>No</v>
      </c>
      <c r="W47" s="6" t="str">
        <f ca="1">IFERROR(__xludf.DUMMYFUNCTION("""COMPUTED_VALUE"""),"NA")</f>
        <v>NA</v>
      </c>
      <c r="X47" s="6" t="str">
        <f ca="1">IFERROR(__xludf.DUMMYFUNCTION("""COMPUTED_VALUE"""),"N/A")</f>
        <v>N/A</v>
      </c>
      <c r="Y47" s="6" t="str">
        <f ca="1">IFERROR(__xludf.DUMMYFUNCTION("""COMPUTED_VALUE"""),"N/A")</f>
        <v>N/A</v>
      </c>
      <c r="Z47" s="6" t="str">
        <f ca="1">IFERROR(__xludf.DUMMYFUNCTION("""COMPUTED_VALUE"""),"N/A")</f>
        <v>N/A</v>
      </c>
      <c r="AA47" s="6"/>
      <c r="AB47" s="6"/>
      <c r="AC47" s="6"/>
      <c r="AD47" s="6"/>
      <c r="AE47" s="6"/>
      <c r="AF47" s="6"/>
      <c r="AG47" s="6"/>
    </row>
    <row r="48" spans="1:33" ht="92.4" x14ac:dyDescent="0.25">
      <c r="A48" s="6">
        <f ca="1">IFERROR(__xludf.DUMMYFUNCTION("""COMPUTED_VALUE"""),48)</f>
        <v>48</v>
      </c>
      <c r="B48" s="10">
        <f ca="1">IFERROR(__xludf.DUMMYFUNCTION("""COMPUTED_VALUE"""),2)</f>
        <v>2</v>
      </c>
      <c r="C48" s="6" t="str">
        <f ca="1">IFERROR(__xludf.DUMMYFUNCTION("""COMPUTED_VALUE"""),"Expansion of Santiago de Cuba Seaport")</f>
        <v>Expansion of Santiago de Cuba Seaport</v>
      </c>
      <c r="D48" s="6" t="str">
        <f ca="1">IFERROR(__xludf.DUMMYFUNCTION("""COMPUTED_VALUE"""),"Other Chinese Institution")</f>
        <v>Other Chinese Institution</v>
      </c>
      <c r="E48" s="6" t="str">
        <f ca="1">IFERROR(__xludf.DUMMYFUNCTION("""COMPUTED_VALUE"""),"Chinese Government")</f>
        <v>Chinese Government</v>
      </c>
      <c r="F48" s="6" t="str">
        <f ca="1">IFERROR(__xludf.DUMMYFUNCTION("""COMPUTED_VALUE"""),"China Communications Construction Company")</f>
        <v>China Communications Construction Company</v>
      </c>
      <c r="G48" s="6">
        <f ca="1">IFERROR(__xludf.DUMMYFUNCTION("""COMPUTED_VALUE"""),4)</f>
        <v>4</v>
      </c>
      <c r="H48" s="6" t="str">
        <f ca="1">IFERROR(__xludf.DUMMYFUNCTION("""COMPUTED_VALUE"""),"Port")</f>
        <v>Port</v>
      </c>
      <c r="I48" s="6" t="str">
        <f ca="1">IFERROR(__xludf.DUMMYFUNCTION("""COMPUTED_VALUE"""),"Loan")</f>
        <v>Loan</v>
      </c>
      <c r="J48" s="6" t="str">
        <f ca="1">IFERROR(__xludf.DUMMYFUNCTION("""COMPUTED_VALUE"""),"$120,000,000 USD")</f>
        <v>$120,000,000 USD</v>
      </c>
      <c r="K48" s="6" t="str">
        <f ca="1">IFERROR(__xludf.DUMMYFUNCTION("""COMPUTED_VALUE"""),"CUB")</f>
        <v>CUB</v>
      </c>
      <c r="L48" s="6" t="str">
        <f ca="1">IFERROR(__xludf.DUMMYFUNCTION("""COMPUTED_VALUE"""),"Cuba")</f>
        <v>Cuba</v>
      </c>
      <c r="M48" s="6" t="str">
        <f ca="1">IFERROR(__xludf.DUMMYFUNCTION("""COMPUTED_VALUE"""),"Santiago, Cuba")</f>
        <v>Santiago, Cuba</v>
      </c>
      <c r="N48" s="6" t="str">
        <f ca="1">IFERROR(__xludf.DUMMYFUNCTION("""COMPUTED_VALUE"""),"The Seaport in the Bay of Santiago de Cuba will be dredged at depth of 11.00 m, making the port capable for handling cargo vessels with deadweight up to 55,000 DWT. The improvement will extend the  shipping capacity of the port and will make it more conve"&amp;"nient for regional trade. Currently the port has capacity for ships with deadweight only 25,000 DWT. The project includes building of 230-meter long pier, new cargo handling 
equipment, and modern cranes for unloading of cargo ships. The completed port wi"&amp;"ll feature a modern container terminal, two warehouses with the capacity to hold 20,000 tons of cargo, and a wastewater treatment plant.")</f>
        <v>The Seaport in the Bay of Santiago de Cuba will be dredged at depth of 11.00 m, making the port capable for handling cargo vessels with deadweight up to 55,000 DWT. The improvement will extend the  shipping capacity of the port and will make it more convenient for regional trade. Currently the port has capacity for ships with deadweight only 25,000 DWT. The project includes building of 230-meter long pier, new cargo handling 
equipment, and modern cranes for unloading of cargo ships. The completed port will feature a modern container terminal, two warehouses with the capacity to hold 20,000 tons of cargo, and a wastewater treatment plant.</v>
      </c>
      <c r="O48" s="6" t="str">
        <f ca="1">IFERROR(__xludf.DUMMYFUNCTION("""COMPUTED_VALUE"""),"06/00/2015")</f>
        <v>06/00/2015</v>
      </c>
      <c r="P48" s="6" t="str">
        <f ca="1">IFERROR(__xludf.DUMMYFUNCTION("""COMPUTED_VALUE"""),"12/00/2019")</f>
        <v>12/00/2019</v>
      </c>
      <c r="Q48" s="6" t="str">
        <f ca="1">IFERROR(__xludf.DUMMYFUNCTION("""COMPUTED_VALUE"""),"Completed")</f>
        <v>Completed</v>
      </c>
      <c r="R48" s="6" t="str">
        <f ca="1">IFERROR(__xludf.DUMMYFUNCTION("""COMPUTED_VALUE"""),"PRT")</f>
        <v>PRT</v>
      </c>
      <c r="S48" s="9" t="str">
        <f ca="1">IFERROR(__xludf.DUMMYFUNCTION("""COMPUTED_VALUE"""),"https://gist.github.com/mayadeutchman/e4148d912db760e211c0def69abd8195")</f>
        <v>https://gist.github.com/mayadeutchman/e4148d912db760e211c0def69abd8195</v>
      </c>
      <c r="T48" s="6" t="str">
        <f ca="1">IFERROR(__xludf.DUMMYFUNCTION("""COMPUTED_VALUE"""),"BLOB")</f>
        <v>BLOB</v>
      </c>
      <c r="U48" s="6" t="str">
        <f ca="1">IFERROR(__xludf.DUMMYFUNCTION("""COMPUTED_VALUE"""),"Used satellite imagery and followed google maps")</f>
        <v>Used satellite imagery and followed google maps</v>
      </c>
      <c r="V48" s="6" t="str">
        <f ca="1">IFERROR(__xludf.DUMMYFUNCTION("""COMPUTED_VALUE"""),"Yes (Both)")</f>
        <v>Yes (Both)</v>
      </c>
      <c r="W48" s="6" t="str">
        <f ca="1">IFERROR(__xludf.DUMMYFUNCTION("""COMPUTED_VALUE"""),"Santiago de Cuba")</f>
        <v>Santiago de Cuba</v>
      </c>
      <c r="X48" s="6" t="str">
        <f ca="1">IFERROR(__xludf.DUMMYFUNCTION("""COMPUTED_VALUE"""),"12/15/2017 | 06/05/2018 | 12/07/2019 | 10/21/2019")</f>
        <v>12/15/2017 | 06/05/2018 | 12/07/2019 | 10/21/2019</v>
      </c>
      <c r="Y48" s="6" t="str">
        <f ca="1">IFERROR(__xludf.DUMMYFUNCTION("""COMPUTED_VALUE"""),"The port has continued construction: expanding the port and buiilding facilites along the northern and western quays. On the western side, storage facilities, three cranes, and a 230m quay have been constructed. Cargo ships have been loaded/unloaded in th"&amp;"e imagery.")</f>
        <v>The port has continued construction: expanding the port and buiilding facilites along the northern and western quays. On the western side, storage facilities, three cranes, and a 230m quay have been constructed. Cargo ships have been loaded/unloaded in the imagery.</v>
      </c>
      <c r="Z48" s="6" t="str">
        <f ca="1">IFERROR(__xludf.DUMMYFUNCTION("""COMPUTED_VALUE"""),"LAT: 20.02785   LON: -75.84493")</f>
        <v>LAT: 20.02785   LON: -75.84493</v>
      </c>
      <c r="AA48" s="6"/>
      <c r="AB48" s="6"/>
      <c r="AC48" s="6"/>
      <c r="AD48" s="6"/>
      <c r="AE48" s="6"/>
      <c r="AF48" s="6"/>
      <c r="AG48" s="6"/>
    </row>
    <row r="49" spans="1:33" ht="66" x14ac:dyDescent="0.25">
      <c r="A49" s="6">
        <f ca="1">IFERROR(__xludf.DUMMYFUNCTION("""COMPUTED_VALUE"""),49)</f>
        <v>49</v>
      </c>
      <c r="B49" s="10">
        <f ca="1">IFERROR(__xludf.DUMMYFUNCTION("""COMPUTED_VALUE"""),2)</f>
        <v>2</v>
      </c>
      <c r="C49" s="6" t="str">
        <f ca="1">IFERROR(__xludf.DUMMYFUNCTION("""COMPUTED_VALUE"""),"Haier Computer Assembly Plant")</f>
        <v>Haier Computer Assembly Plant</v>
      </c>
      <c r="D49" s="6" t="str">
        <f ca="1">IFERROR(__xludf.DUMMYFUNCTION("""COMPUTED_VALUE"""),"Other Chinese Institution")</f>
        <v>Other Chinese Institution</v>
      </c>
      <c r="E49" s="6" t="str">
        <f ca="1">IFERROR(__xludf.DUMMYFUNCTION("""COMPUTED_VALUE"""),"Haier Group Corporation")</f>
        <v>Haier Group Corporation</v>
      </c>
      <c r="F49" s="6" t="str">
        <f ca="1">IFERROR(__xludf.DUMMYFUNCTION("""COMPUTED_VALUE"""),"Industrial Company of Informatics, Communications and Electronics / GEDEME")</f>
        <v>Industrial Company of Informatics, Communications and Electronics / GEDEME</v>
      </c>
      <c r="G49" s="6">
        <f ca="1">IFERROR(__xludf.DUMMYFUNCTION("""COMPUTED_VALUE"""),9)</f>
        <v>9</v>
      </c>
      <c r="H49" s="6" t="str">
        <f ca="1">IFERROR(__xludf.DUMMYFUNCTION("""COMPUTED_VALUE"""),"Manufacturing / Production")</f>
        <v>Manufacturing / Production</v>
      </c>
      <c r="I49" s="6" t="str">
        <f ca="1">IFERROR(__xludf.DUMMYFUNCTION("""COMPUTED_VALUE"""),"Contract")</f>
        <v>Contract</v>
      </c>
      <c r="J49" s="6" t="str">
        <f ca="1">IFERROR(__xludf.DUMMYFUNCTION("""COMPUTED_VALUE"""),"$230,000 USD")</f>
        <v>$230,000 USD</v>
      </c>
      <c r="K49" s="6" t="str">
        <f ca="1">IFERROR(__xludf.DUMMYFUNCTION("""COMPUTED_VALUE"""),"CUB")</f>
        <v>CUB</v>
      </c>
      <c r="L49" s="6" t="str">
        <f ca="1">IFERROR(__xludf.DUMMYFUNCTION("""COMPUTED_VALUE"""),"Cuba")</f>
        <v>Cuba</v>
      </c>
      <c r="M49" s="6" t="str">
        <f ca="1">IFERROR(__xludf.DUMMYFUNCTION("""COMPUTED_VALUE"""),"Havana, Cuba")</f>
        <v>Havana, Cuba</v>
      </c>
      <c r="N49" s="6" t="str">
        <f ca="1">IFERROR(__xludf.DUMMYFUNCTION("""COMPUTED_VALUE"""),"The US$230,000 plant has the capacity to assemble 120,000 laptops and tablets a year, or 500 per day, and is designed to eventually have 80 employees.The production line features Core i3, Core i5 and Celeron laptops installed with the sixth-generation pro"&amp;"cessors as well as 8-inch and 10-inch tablets. As of 2017, the plant has rolled out more than 3,500 laptops and 3,580 tablets, mainly to supply state-run companies and government agencies. The raw materials for the plant are imported from China, however t"&amp;"he Haier company will give GEDEME full ownership of the facility once their agreement ends.")</f>
        <v>The US$230,000 plant has the capacity to assemble 120,000 laptops and tablets a year, or 500 per day, and is designed to eventually have 80 employees.The production line features Core i3, Core i5 and Celeron laptops installed with the sixth-generation processors as well as 8-inch and 10-inch tablets. As of 2017, the plant has rolled out more than 3,500 laptops and 3,580 tablets, mainly to supply state-run companies and government agencies. The raw materials for the plant are imported from China, however the Haier company will give GEDEME full ownership of the facility once their agreement ends.</v>
      </c>
      <c r="O49" s="6" t="str">
        <f ca="1">IFERROR(__xludf.DUMMYFUNCTION("""COMPUTED_VALUE"""),"12/00/2016")</f>
        <v>12/00/2016</v>
      </c>
      <c r="P49" s="6" t="str">
        <f ca="1">IFERROR(__xludf.DUMMYFUNCTION("""COMPUTED_VALUE"""),"N/A")</f>
        <v>N/A</v>
      </c>
      <c r="Q49" s="6" t="str">
        <f ca="1">IFERROR(__xludf.DUMMYFUNCTION("""COMPUTED_VALUE"""),"Completed")</f>
        <v>Completed</v>
      </c>
      <c r="R49" s="6" t="str">
        <f ca="1">IFERROR(__xludf.DUMMYFUNCTION("""COMPUTED_VALUE"""),"MFG")</f>
        <v>MFG</v>
      </c>
      <c r="S49" s="6" t="str">
        <f ca="1">IFERROR(__xludf.DUMMYFUNCTION("""COMPUTED_VALUE"""),"CUB_ADM1_2_0_1-B2")</f>
        <v>CUB_ADM1_2_0_1-B2</v>
      </c>
      <c r="T49" s="6" t="str">
        <f ca="1">IFERROR(__xludf.DUMMYFUNCTION("""COMPUTED_VALUE"""),"ADM1")</f>
        <v>ADM1</v>
      </c>
      <c r="U49" s="6" t="str">
        <f ca="1">IFERROR(__xludf.DUMMYFUNCTION("""COMPUTED_VALUE"""),"Geocoded up to the province")</f>
        <v>Geocoded up to the province</v>
      </c>
      <c r="V49" s="6" t="str">
        <f ca="1">IFERROR(__xludf.DUMMYFUNCTION("""COMPUTED_VALUE"""),"Yes (Regional)")</f>
        <v>Yes (Regional)</v>
      </c>
      <c r="W49" s="6" t="str">
        <f ca="1">IFERROR(__xludf.DUMMYFUNCTION("""COMPUTED_VALUE"""),"Havana")</f>
        <v>Havana</v>
      </c>
      <c r="X49" s="6" t="str">
        <f ca="1">IFERROR(__xludf.DUMMYFUNCTION("""COMPUTED_VALUE"""),"N/A")</f>
        <v>N/A</v>
      </c>
      <c r="Y49" s="6" t="str">
        <f ca="1">IFERROR(__xludf.DUMMYFUNCTION("""COMPUTED_VALUE"""),"N/A")</f>
        <v>N/A</v>
      </c>
      <c r="Z49" s="6" t="str">
        <f ca="1">IFERROR(__xludf.DUMMYFUNCTION("""COMPUTED_VALUE"""),"N/A")</f>
        <v>N/A</v>
      </c>
      <c r="AA49" s="6"/>
      <c r="AB49" s="6"/>
      <c r="AC49" s="6"/>
      <c r="AD49" s="6"/>
      <c r="AE49" s="6"/>
      <c r="AF49" s="6"/>
      <c r="AG49" s="6"/>
    </row>
    <row r="50" spans="1:33" ht="52.8" x14ac:dyDescent="0.25">
      <c r="A50" s="6">
        <f ca="1">IFERROR(__xludf.DUMMYFUNCTION("""COMPUTED_VALUE"""),50)</f>
        <v>50</v>
      </c>
      <c r="B50" s="10">
        <f ca="1">IFERROR(__xludf.DUMMYFUNCTION("""COMPUTED_VALUE"""),2)</f>
        <v>2</v>
      </c>
      <c r="C50" s="6" t="str">
        <f ca="1">IFERROR(__xludf.DUMMYFUNCTION("""COMPUTED_VALUE"""),"Refrigerator Sale")</f>
        <v>Refrigerator Sale</v>
      </c>
      <c r="D50" s="6" t="str">
        <f ca="1">IFERROR(__xludf.DUMMYFUNCTION("""COMPUTED_VALUE"""),"Other Institution")</f>
        <v>Other Institution</v>
      </c>
      <c r="E50" s="6" t="str">
        <f ca="1">IFERROR(__xludf.DUMMYFUNCTION("""COMPUTED_VALUE"""),"Govt. of Cuba")</f>
        <v>Govt. of Cuba</v>
      </c>
      <c r="F50" s="6" t="str">
        <f ca="1">IFERROR(__xludf.DUMMYFUNCTION("""COMPUTED_VALUE"""),"Haier Group Corporation")</f>
        <v>Haier Group Corporation</v>
      </c>
      <c r="G50" s="6">
        <f ca="1">IFERROR(__xludf.DUMMYFUNCTION("""COMPUTED_VALUE"""),11)</f>
        <v>11</v>
      </c>
      <c r="H50" s="6" t="str">
        <f ca="1">IFERROR(__xludf.DUMMYFUNCTION("""COMPUTED_VALUE"""),"Energy - general")</f>
        <v>Energy - general</v>
      </c>
      <c r="I50" s="6" t="str">
        <f ca="1">IFERROR(__xludf.DUMMYFUNCTION("""COMPUTED_VALUE"""),"Purchase")</f>
        <v>Purchase</v>
      </c>
      <c r="J50" s="6" t="str">
        <f ca="1">IFERROR(__xludf.DUMMYFUNCTION("""COMPUTED_VALUE"""),"$85,000,000 USD")</f>
        <v>$85,000,000 USD</v>
      </c>
      <c r="K50" s="6" t="str">
        <f ca="1">IFERROR(__xludf.DUMMYFUNCTION("""COMPUTED_VALUE"""),"CUB")</f>
        <v>CUB</v>
      </c>
      <c r="L50" s="6" t="str">
        <f ca="1">IFERROR(__xludf.DUMMYFUNCTION("""COMPUTED_VALUE"""),"Cuba")</f>
        <v>Cuba</v>
      </c>
      <c r="M50" s="6" t="str">
        <f ca="1">IFERROR(__xludf.DUMMYFUNCTION("""COMPUTED_VALUE"""),"Country - wide")</f>
        <v>Country - wide</v>
      </c>
      <c r="N50" s="6" t="str">
        <f ca="1">IFERROR(__xludf.DUMMYFUNCTION("""COMPUTED_VALUE"""),"The Government of Cuba purchased 300,000 energy-efficient refrigerators from the Chinese company Haier, and is selling them at a subsidized rate to citizens at around $286 to help cut energy consumption in the nation. Both Haier and the diplomats involved"&amp;" refused to discuss the dollar value of the purchase. Based on the price that they are selling the appliances, the estimated value would be $85 million")</f>
        <v>The Government of Cuba purchased 300,000 energy-efficient refrigerators from the Chinese company Haier, and is selling them at a subsidized rate to citizens at around $286 to help cut energy consumption in the nation. Both Haier and the diplomats involved refused to discuss the dollar value of the purchase. Based on the price that they are selling the appliances, the estimated value would be $85 million</v>
      </c>
      <c r="O50" s="6" t="str">
        <f ca="1">IFERROR(__xludf.DUMMYFUNCTION("""COMPUTED_VALUE"""),"03/00/2006")</f>
        <v>03/00/2006</v>
      </c>
      <c r="P50" s="6" t="str">
        <f ca="1">IFERROR(__xludf.DUMMYFUNCTION("""COMPUTED_VALUE"""),"N/A")</f>
        <v>N/A</v>
      </c>
      <c r="Q50" s="6" t="str">
        <f ca="1">IFERROR(__xludf.DUMMYFUNCTION("""COMPUTED_VALUE"""),"Completed")</f>
        <v>Completed</v>
      </c>
      <c r="R50" s="6" t="str">
        <f ca="1">IFERROR(__xludf.DUMMYFUNCTION("""COMPUTED_VALUE"""),"UNM")</f>
        <v>UNM</v>
      </c>
      <c r="S50" s="6" t="str">
        <f ca="1">IFERROR(__xludf.DUMMYFUNCTION("""COMPUTED_VALUE"""),"N/A")</f>
        <v>N/A</v>
      </c>
      <c r="T50" s="6" t="str">
        <f ca="1">IFERROR(__xludf.DUMMYFUNCTION("""COMPUTED_VALUE"""),"UNM")</f>
        <v>UNM</v>
      </c>
      <c r="U50" s="6" t="str">
        <f ca="1">IFERROR(__xludf.DUMMYFUNCTION("""COMPUTED_VALUE"""),"Unmappable")</f>
        <v>Unmappable</v>
      </c>
      <c r="V50" s="6" t="str">
        <f ca="1">IFERROR(__xludf.DUMMYFUNCTION("""COMPUTED_VALUE"""),"No")</f>
        <v>No</v>
      </c>
      <c r="W50" s="6" t="str">
        <f ca="1">IFERROR(__xludf.DUMMYFUNCTION("""COMPUTED_VALUE"""),"NA")</f>
        <v>NA</v>
      </c>
      <c r="X50" s="6" t="str">
        <f ca="1">IFERROR(__xludf.DUMMYFUNCTION("""COMPUTED_VALUE"""),"N/A")</f>
        <v>N/A</v>
      </c>
      <c r="Y50" s="6" t="str">
        <f ca="1">IFERROR(__xludf.DUMMYFUNCTION("""COMPUTED_VALUE"""),"N/A")</f>
        <v>N/A</v>
      </c>
      <c r="Z50" s="6" t="str">
        <f ca="1">IFERROR(__xludf.DUMMYFUNCTION("""COMPUTED_VALUE"""),"N/A")</f>
        <v>N/A</v>
      </c>
      <c r="AA50" s="6"/>
      <c r="AB50" s="6"/>
      <c r="AC50" s="6"/>
      <c r="AD50" s="6"/>
      <c r="AE50" s="6"/>
      <c r="AF50" s="6"/>
      <c r="AG50" s="6"/>
    </row>
    <row r="51" spans="1:33" ht="79.2" x14ac:dyDescent="0.25">
      <c r="A51" s="6">
        <f ca="1">IFERROR(__xludf.DUMMYFUNCTION("""COMPUTED_VALUE"""),51)</f>
        <v>51</v>
      </c>
      <c r="B51" s="10">
        <f ca="1">IFERROR(__xludf.DUMMYFUNCTION("""COMPUTED_VALUE"""),2)</f>
        <v>2</v>
      </c>
      <c r="C51" s="6" t="str">
        <f ca="1">IFERROR(__xludf.DUMMYFUNCTION("""COMPUTED_VALUE"""),"Yaguaramas Solar Park")</f>
        <v>Yaguaramas Solar Park</v>
      </c>
      <c r="D51" s="6" t="str">
        <f ca="1">IFERROR(__xludf.DUMMYFUNCTION("""COMPUTED_VALUE"""),"CHEXIM")</f>
        <v>CHEXIM</v>
      </c>
      <c r="E51" s="6" t="str">
        <f ca="1">IFERROR(__xludf.DUMMYFUNCTION("""COMPUTED_VALUE"""),"Ministry of Commerce of China")</f>
        <v>Ministry of Commerce of China</v>
      </c>
      <c r="F51" s="6" t="str">
        <f ca="1">IFERROR(__xludf.DUMMYFUNCTION("""COMPUTED_VALUE"""),"EDIFRE, the state engineering company (Investment Development Company for Renewable Energy Sources)")</f>
        <v>EDIFRE, the state engineering company (Investment Development Company for Renewable Energy Sources)</v>
      </c>
      <c r="G51" s="6">
        <f ca="1">IFERROR(__xludf.DUMMYFUNCTION("""COMPUTED_VALUE"""),1.3)</f>
        <v>1.3</v>
      </c>
      <c r="H51" s="6" t="str">
        <f ca="1">IFERROR(__xludf.DUMMYFUNCTION("""COMPUTED_VALUE"""),"Energy - sustainable")</f>
        <v>Energy - sustainable</v>
      </c>
      <c r="I51" s="6" t="str">
        <f ca="1">IFERROR(__xludf.DUMMYFUNCTION("""COMPUTED_VALUE"""),"Donation")</f>
        <v>Donation</v>
      </c>
      <c r="J51" s="6" t="str">
        <f ca="1">IFERROR(__xludf.DUMMYFUNCTION("""COMPUTED_VALUE"""),"N/A")</f>
        <v>N/A</v>
      </c>
      <c r="K51" s="6" t="str">
        <f ca="1">IFERROR(__xludf.DUMMYFUNCTION("""COMPUTED_VALUE"""),"CUB")</f>
        <v>CUB</v>
      </c>
      <c r="L51" s="6" t="str">
        <f ca="1">IFERROR(__xludf.DUMMYFUNCTION("""COMPUTED_VALUE"""),"Cuba")</f>
        <v>Cuba</v>
      </c>
      <c r="M51" s="6" t="str">
        <f ca="1">IFERROR(__xludf.DUMMYFUNCTION("""COMPUTED_VALUE"""),"Yaguaramas, Cuba")</f>
        <v>Yaguaramas, Cuba</v>
      </c>
      <c r="N51" s="6" t="str">
        <f ca="1">IFERROR(__xludf.DUMMYFUNCTION("""COMPUTED_VALUE"""),"One of two solar parks funded and installed by Chinese actors. With the other park, their combined total capacity is 9 megawatts. Yaguaramas Solar Park has 19,440 solar panels, funded by EXIM.")</f>
        <v>One of two solar parks funded and installed by Chinese actors. With the other park, their combined total capacity is 9 megawatts. Yaguaramas Solar Park has 19,440 solar panels, funded by EXIM.</v>
      </c>
      <c r="O51" s="6" t="str">
        <f ca="1">IFERROR(__xludf.DUMMYFUNCTION("""COMPUTED_VALUE"""),"08/00/2016")</f>
        <v>08/00/2016</v>
      </c>
      <c r="P51" s="6" t="str">
        <f ca="1">IFERROR(__xludf.DUMMYFUNCTION("""COMPUTED_VALUE"""),"02/00/2018")</f>
        <v>02/00/2018</v>
      </c>
      <c r="Q51" s="6" t="str">
        <f ca="1">IFERROR(__xludf.DUMMYFUNCTION("""COMPUTED_VALUE"""),"Completed")</f>
        <v>Completed</v>
      </c>
      <c r="R51" s="6" t="str">
        <f ca="1">IFERROR(__xludf.DUMMYFUNCTION("""COMPUTED_VALUE"""),"PS")</f>
        <v>PS</v>
      </c>
      <c r="S51" s="9" t="str">
        <f ca="1">IFERROR(__xludf.DUMMYFUNCTION("""COMPUTED_VALUE"""),"https://gist.github.com/Remy2020/be93f5f522d4db25aa938feb72098189")</f>
        <v>https://gist.github.com/Remy2020/be93f5f522d4db25aa938feb72098189</v>
      </c>
      <c r="T51" s="6" t="str">
        <f ca="1">IFERROR(__xludf.DUMMYFUNCTION("""COMPUTED_VALUE"""),"BLOB")</f>
        <v>BLOB</v>
      </c>
      <c r="U51" s="6" t="str">
        <f ca="1">IFERROR(__xludf.DUMMYFUNCTION("""COMPUTED_VALUE"""),"Used satellite imagery and followed google maps")</f>
        <v>Used satellite imagery and followed google maps</v>
      </c>
      <c r="V51" s="6" t="str">
        <f ca="1">IFERROR(__xludf.DUMMYFUNCTION("""COMPUTED_VALUE"""),"Yes (Both)")</f>
        <v>Yes (Both)</v>
      </c>
      <c r="W51" s="6" t="str">
        <f ca="1">IFERROR(__xludf.DUMMYFUNCTION("""COMPUTED_VALUE"""),"Cienfuegos")</f>
        <v>Cienfuegos</v>
      </c>
      <c r="X51" s="6"/>
      <c r="Y51" s="6"/>
      <c r="Z51" s="6" t="str">
        <f ca="1">IFERROR(__xludf.DUMMYFUNCTION("""COMPUTED_VALUE"""),"LAT: 22.2542  LON: -80.71393")</f>
        <v>LAT: 22.2542  LON: -80.71393</v>
      </c>
      <c r="AA51" s="6"/>
      <c r="AB51" s="6"/>
      <c r="AC51" s="6"/>
      <c r="AD51" s="6"/>
      <c r="AE51" s="6"/>
      <c r="AF51" s="6"/>
      <c r="AG51" s="6"/>
    </row>
    <row r="52" spans="1:33" ht="79.2" x14ac:dyDescent="0.25">
      <c r="A52" s="6">
        <f ca="1">IFERROR(__xludf.DUMMYFUNCTION("""COMPUTED_VALUE"""),52)</f>
        <v>52</v>
      </c>
      <c r="B52" s="10">
        <f ca="1">IFERROR(__xludf.DUMMYFUNCTION("""COMPUTED_VALUE"""),3)</f>
        <v>3</v>
      </c>
      <c r="C52" s="6" t="str">
        <f ca="1">IFERROR(__xludf.DUMMYFUNCTION("""COMPUTED_VALUE"""),"Pinar del Rio Solar Park")</f>
        <v>Pinar del Rio Solar Park</v>
      </c>
      <c r="D52" s="6" t="str">
        <f ca="1">IFERROR(__xludf.DUMMYFUNCTION("""COMPUTED_VALUE"""),"CHEXIM")</f>
        <v>CHEXIM</v>
      </c>
      <c r="E52" s="6" t="str">
        <f ca="1">IFERROR(__xludf.DUMMYFUNCTION("""COMPUTED_VALUE"""),"Ministry of Commerce of China")</f>
        <v>Ministry of Commerce of China</v>
      </c>
      <c r="F52" s="6" t="str">
        <f ca="1">IFERROR(__xludf.DUMMYFUNCTION("""COMPUTED_VALUE"""),"EDIFRE, the state engineering company (Investment Development Company for Renewable Energy Sources)")</f>
        <v>EDIFRE, the state engineering company (Investment Development Company for Renewable Energy Sources)</v>
      </c>
      <c r="G52" s="6">
        <f ca="1">IFERROR(__xludf.DUMMYFUNCTION("""COMPUTED_VALUE"""),1.3)</f>
        <v>1.3</v>
      </c>
      <c r="H52" s="6" t="str">
        <f ca="1">IFERROR(__xludf.DUMMYFUNCTION("""COMPUTED_VALUE"""),"Energy - sustainable")</f>
        <v>Energy - sustainable</v>
      </c>
      <c r="I52" s="6" t="str">
        <f ca="1">IFERROR(__xludf.DUMMYFUNCTION("""COMPUTED_VALUE"""),"Donation")</f>
        <v>Donation</v>
      </c>
      <c r="J52" s="6" t="str">
        <f ca="1">IFERROR(__xludf.DUMMYFUNCTION("""COMPUTED_VALUE"""),"N/A")</f>
        <v>N/A</v>
      </c>
      <c r="K52" s="6" t="str">
        <f ca="1">IFERROR(__xludf.DUMMYFUNCTION("""COMPUTED_VALUE"""),"CUB")</f>
        <v>CUB</v>
      </c>
      <c r="L52" s="6" t="str">
        <f ca="1">IFERROR(__xludf.DUMMYFUNCTION("""COMPUTED_VALUE"""),"Cuba")</f>
        <v>Cuba</v>
      </c>
      <c r="M52" s="6" t="str">
        <f ca="1">IFERROR(__xludf.DUMMYFUNCTION("""COMPUTED_VALUE""")," Pinar del Rio, Cuba")</f>
        <v xml:space="preserve"> Pinar del Rio, Cuba</v>
      </c>
      <c r="N52" s="6" t="str">
        <f ca="1">IFERROR(__xludf.DUMMYFUNCTION("""COMPUTED_VALUE"""),"One of two solar parks funded and installed by Chinese actors. With the other park, their combined total capacity is 9 megawatts. Funded by EXIM. Two separate solar parks operating in the southwest outskirts of the town of Pinar del Rio")</f>
        <v>One of two solar parks funded and installed by Chinese actors. With the other park, their combined total capacity is 9 megawatts. Funded by EXIM. Two separate solar parks operating in the southwest outskirts of the town of Pinar del Rio</v>
      </c>
      <c r="O52" s="6" t="str">
        <f ca="1">IFERROR(__xludf.DUMMYFUNCTION("""COMPUTED_VALUE"""),"08/00/2016")</f>
        <v>08/00/2016</v>
      </c>
      <c r="P52" s="6" t="str">
        <f ca="1">IFERROR(__xludf.DUMMYFUNCTION("""COMPUTED_VALUE"""),"02/00/2018")</f>
        <v>02/00/2018</v>
      </c>
      <c r="Q52" s="6" t="str">
        <f ca="1">IFERROR(__xludf.DUMMYFUNCTION("""COMPUTED_VALUE"""),"Completed")</f>
        <v>Completed</v>
      </c>
      <c r="R52" s="6" t="str">
        <f ca="1">IFERROR(__xludf.DUMMYFUNCTION("""COMPUTED_VALUE"""),"PS")</f>
        <v>PS</v>
      </c>
      <c r="S52" s="9" t="str">
        <f ca="1">IFERROR(__xludf.DUMMYFUNCTION("""COMPUTED_VALUE"""),"https://gist.github.com/Remy2020/6c80fb96e00fcbc46628caffdf6676aa")</f>
        <v>https://gist.github.com/Remy2020/6c80fb96e00fcbc46628caffdf6676aa</v>
      </c>
      <c r="T52" s="6" t="str">
        <f ca="1">IFERROR(__xludf.DUMMYFUNCTION("""COMPUTED_VALUE"""),"BLOB")</f>
        <v>BLOB</v>
      </c>
      <c r="U52" s="6" t="str">
        <f ca="1">IFERROR(__xludf.DUMMYFUNCTION("""COMPUTED_VALUE"""),"Used satellite imagery and followed google maps")</f>
        <v>Used satellite imagery and followed google maps</v>
      </c>
      <c r="V52" s="6" t="str">
        <f ca="1">IFERROR(__xludf.DUMMYFUNCTION("""COMPUTED_VALUE"""),"Yes (Both)")</f>
        <v>Yes (Both)</v>
      </c>
      <c r="W52" s="6" t="str">
        <f ca="1">IFERROR(__xludf.DUMMYFUNCTION("""COMPUTED_VALUE"""),"Pinar del Rio")</f>
        <v>Pinar del Rio</v>
      </c>
      <c r="X52" s="6"/>
      <c r="Y52" s="6" t="str">
        <f ca="1">IFERROR(__xludf.DUMMYFUNCTION("""COMPUTED_VALUE"""),"Imagery needs to include both parks in the 
")</f>
        <v xml:space="preserve">Imagery needs to include both parks in the 
</v>
      </c>
      <c r="Z52" s="6" t="str">
        <f ca="1">IFERROR(__xludf.DUMMYFUNCTION("""COMPUTED_VALUE"""),"LAT: 22.40603 LON: -83.63636")</f>
        <v>LAT: 22.40603 LON: -83.63636</v>
      </c>
      <c r="AA52" s="6"/>
      <c r="AB52" s="6"/>
      <c r="AC52" s="6"/>
      <c r="AD52" s="6"/>
      <c r="AE52" s="6"/>
      <c r="AF52" s="6"/>
      <c r="AG52" s="6"/>
    </row>
    <row r="53" spans="1:33" ht="39.6" x14ac:dyDescent="0.25">
      <c r="A53" s="6">
        <f ca="1">IFERROR(__xludf.DUMMYFUNCTION("""COMPUTED_VALUE"""),53)</f>
        <v>53</v>
      </c>
      <c r="B53" s="10">
        <f ca="1">IFERROR(__xludf.DUMMYFUNCTION("""COMPUTED_VALUE"""),3)</f>
        <v>3</v>
      </c>
      <c r="C53" s="6" t="str">
        <f ca="1">IFERROR(__xludf.DUMMYFUNCTION("""COMPUTED_VALUE"""),"La Herradura 1 Wind Farm")</f>
        <v>La Herradura 1 Wind Farm</v>
      </c>
      <c r="D53" s="6" t="str">
        <f ca="1">IFERROR(__xludf.DUMMYFUNCTION("""COMPUTED_VALUE"""),"Other Chinese Institution")</f>
        <v>Other Chinese Institution</v>
      </c>
      <c r="E53" s="6" t="str">
        <f ca="1">IFERROR(__xludf.DUMMYFUNCTION("""COMPUTED_VALUE"""),"Xinjiang Goldwind Science &amp; Technology")</f>
        <v>Xinjiang Goldwind Science &amp; Technology</v>
      </c>
      <c r="F53" s="6" t="str">
        <f ca="1">IFERROR(__xludf.DUMMYFUNCTION("""COMPUTED_VALUE"""),"Empresa de Construcción y Montaje (state engineering firm)")</f>
        <v>Empresa de Construcción y Montaje (state engineering firm)</v>
      </c>
      <c r="G53" s="6">
        <f ca="1">IFERROR(__xludf.DUMMYFUNCTION("""COMPUTED_VALUE"""),3)</f>
        <v>3</v>
      </c>
      <c r="H53" s="6" t="str">
        <f ca="1">IFERROR(__xludf.DUMMYFUNCTION("""COMPUTED_VALUE"""),"Energy - sustainable")</f>
        <v>Energy - sustainable</v>
      </c>
      <c r="I53" s="6" t="str">
        <f ca="1">IFERROR(__xludf.DUMMYFUNCTION("""COMPUTED_VALUE"""),"Investment")</f>
        <v>Investment</v>
      </c>
      <c r="J53" s="6" t="str">
        <f ca="1">IFERROR(__xludf.DUMMYFUNCTION("""COMPUTED_VALUE"""),"N/A")</f>
        <v>N/A</v>
      </c>
      <c r="K53" s="6" t="str">
        <f ca="1">IFERROR(__xludf.DUMMYFUNCTION("""COMPUTED_VALUE"""),"CUB")</f>
        <v>CUB</v>
      </c>
      <c r="L53" s="6" t="str">
        <f ca="1">IFERROR(__xludf.DUMMYFUNCTION("""COMPUTED_VALUE"""),"Cuba")</f>
        <v>Cuba</v>
      </c>
      <c r="M53" s="6" t="str">
        <f ca="1">IFERROR(__xludf.DUMMYFUNCTION("""COMPUTED_VALUE"""),"Las Tunas, Cuba")</f>
        <v>Las Tunas, Cuba</v>
      </c>
      <c r="N53" s="6" t="str">
        <f ca="1">IFERROR(__xludf.DUMMYFUNCTION("""COMPUTED_VALUE"""),"First of two wind farms being built in La Herradura,  the wind turbines are to be supplied by Xinjiang Goldwind Science and Technology (34 in total). These turbines will supply 110 volts of electricity to the National Electric Power System, and also inclu"&amp;"des the construction of a new substation. This project aligns with the goal of the Cuban state to achieve sustainable development. ")</f>
        <v xml:space="preserve">First of two wind farms being built in La Herradura,  the wind turbines are to be supplied by Xinjiang Goldwind Science and Technology (34 in total). These turbines will supply 110 volts of electricity to the National Electric Power System, and also includes the construction of a new substation. This project aligns with the goal of the Cuban state to achieve sustainable development. </v>
      </c>
      <c r="O53" s="6" t="str">
        <f ca="1">IFERROR(__xludf.DUMMYFUNCTION("""COMPUTED_VALUE"""),"00/00/2013")</f>
        <v>00/00/2013</v>
      </c>
      <c r="P53" s="6" t="str">
        <f ca="1">IFERROR(__xludf.DUMMYFUNCTION("""COMPUTED_VALUE"""),"N/A")</f>
        <v>N/A</v>
      </c>
      <c r="Q53" s="6" t="str">
        <f ca="1">IFERROR(__xludf.DUMMYFUNCTION("""COMPUTED_VALUE"""),"Under construction - delayed")</f>
        <v>Under construction - delayed</v>
      </c>
      <c r="R53" s="6" t="str">
        <f ca="1">IFERROR(__xludf.DUMMYFUNCTION("""COMPUTED_VALUE"""),"PS")</f>
        <v>PS</v>
      </c>
      <c r="S53" s="9" t="str">
        <f ca="1">IFERROR(__xludf.DUMMYFUNCTION("""COMPUTED_VALUE"""),"https://gist.github.com/Remy2020/b87eee1006c7661972e5a0efc9678e20")</f>
        <v>https://gist.github.com/Remy2020/b87eee1006c7661972e5a0efc9678e20</v>
      </c>
      <c r="T53" s="6" t="str">
        <f ca="1">IFERROR(__xludf.DUMMYFUNCTION("""COMPUTED_VALUE"""),"BLOB")</f>
        <v>BLOB</v>
      </c>
      <c r="U53" s="6" t="str">
        <f ca="1">IFERROR(__xludf.DUMMYFUNCTION("""COMPUTED_VALUE"""),"Used satellite imagery and followed google maps")</f>
        <v>Used satellite imagery and followed google maps</v>
      </c>
      <c r="V53" s="6" t="str">
        <f ca="1">IFERROR(__xludf.DUMMYFUNCTION("""COMPUTED_VALUE"""),"Yes (Both)")</f>
        <v>Yes (Both)</v>
      </c>
      <c r="W53" s="6" t="str">
        <f ca="1">IFERROR(__xludf.DUMMYFUNCTION("""COMPUTED_VALUE"""),"Las Tunas")</f>
        <v>Las Tunas</v>
      </c>
      <c r="X53" s="6"/>
      <c r="Y53" s="6"/>
      <c r="Z53" s="6" t="str">
        <f ca="1">IFERROR(__xludf.DUMMYFUNCTION("""COMPUTED_VALUE"""),"LAT: 21.27482  LON: -76.40931")</f>
        <v>LAT: 21.27482  LON: -76.40931</v>
      </c>
      <c r="AA53" s="6"/>
      <c r="AB53" s="6"/>
      <c r="AC53" s="6"/>
      <c r="AD53" s="6"/>
      <c r="AE53" s="6"/>
      <c r="AF53" s="6"/>
      <c r="AG53" s="6"/>
    </row>
    <row r="54" spans="1:33" ht="39.6" x14ac:dyDescent="0.25">
      <c r="A54" s="6">
        <f ca="1">IFERROR(__xludf.DUMMYFUNCTION("""COMPUTED_VALUE"""),54)</f>
        <v>54</v>
      </c>
      <c r="B54" s="10">
        <f ca="1">IFERROR(__xludf.DUMMYFUNCTION("""COMPUTED_VALUE"""),3)</f>
        <v>3</v>
      </c>
      <c r="C54" s="6" t="str">
        <f ca="1">IFERROR(__xludf.DUMMYFUNCTION("""COMPUTED_VALUE"""),"La Herradura 2 Wind Farm")</f>
        <v>La Herradura 2 Wind Farm</v>
      </c>
      <c r="D54" s="6" t="str">
        <f ca="1">IFERROR(__xludf.DUMMYFUNCTION("""COMPUTED_VALUE"""),"Other Chinese Institution")</f>
        <v>Other Chinese Institution</v>
      </c>
      <c r="E54" s="6" t="str">
        <f ca="1">IFERROR(__xludf.DUMMYFUNCTION("""COMPUTED_VALUE"""),"Dongfang Electric Corp Ltd")</f>
        <v>Dongfang Electric Corp Ltd</v>
      </c>
      <c r="F54" s="6" t="str">
        <f ca="1">IFERROR(__xludf.DUMMYFUNCTION("""COMPUTED_VALUE"""),"Empresa de Construcción y Montaje (state engineering firm)")</f>
        <v>Empresa de Construcción y Montaje (state engineering firm)</v>
      </c>
      <c r="G54" s="6">
        <f ca="1">IFERROR(__xludf.DUMMYFUNCTION("""COMPUTED_VALUE"""),3)</f>
        <v>3</v>
      </c>
      <c r="H54" s="6" t="str">
        <f ca="1">IFERROR(__xludf.DUMMYFUNCTION("""COMPUTED_VALUE"""),"Energy - sustainable")</f>
        <v>Energy - sustainable</v>
      </c>
      <c r="I54" s="6" t="str">
        <f ca="1">IFERROR(__xludf.DUMMYFUNCTION("""COMPUTED_VALUE"""),"Investment")</f>
        <v>Investment</v>
      </c>
      <c r="J54" s="6" t="str">
        <f ca="1">IFERROR(__xludf.DUMMYFUNCTION("""COMPUTED_VALUE"""),"N/A")</f>
        <v>N/A</v>
      </c>
      <c r="K54" s="6" t="str">
        <f ca="1">IFERROR(__xludf.DUMMYFUNCTION("""COMPUTED_VALUE"""),"CUB")</f>
        <v>CUB</v>
      </c>
      <c r="L54" s="6" t="str">
        <f ca="1">IFERROR(__xludf.DUMMYFUNCTION("""COMPUTED_VALUE"""),"Cuba")</f>
        <v>Cuba</v>
      </c>
      <c r="M54" s="6" t="str">
        <f ca="1">IFERROR(__xludf.DUMMYFUNCTION("""COMPUTED_VALUE"""),"Las Tunas, Cuba")</f>
        <v>Las Tunas, Cuba</v>
      </c>
      <c r="N54" s="6" t="str">
        <f ca="1">IFERROR(__xludf.DUMMYFUNCTION("""COMPUTED_VALUE"""),"China’s Dongfang Electric Corp Ltd (SHA:600875) will supply 20 Dongfang wind turbines of 2.5 MW each for the La Herradura 2 farm, constructed by a Cuban-state owned builder, Empresa de Construcción y Montaje.")</f>
        <v>China’s Dongfang Electric Corp Ltd (SHA:600875) will supply 20 Dongfang wind turbines of 2.5 MW each for the La Herradura 2 farm, constructed by a Cuban-state owned builder, Empresa de Construcción y Montaje.</v>
      </c>
      <c r="O54" s="6" t="str">
        <f ca="1">IFERROR(__xludf.DUMMYFUNCTION("""COMPUTED_VALUE"""),"03/00/2019")</f>
        <v>03/00/2019</v>
      </c>
      <c r="P54" s="6" t="str">
        <f ca="1">IFERROR(__xludf.DUMMYFUNCTION("""COMPUTED_VALUE"""),"N/A")</f>
        <v>N/A</v>
      </c>
      <c r="Q54" s="6" t="str">
        <f ca="1">IFERROR(__xludf.DUMMYFUNCTION("""COMPUTED_VALUE"""),"Under construction - delayed")</f>
        <v>Under construction - delayed</v>
      </c>
      <c r="R54" s="6" t="str">
        <f ca="1">IFERROR(__xludf.DUMMYFUNCTION("""COMPUTED_VALUE"""),"PS")</f>
        <v>PS</v>
      </c>
      <c r="S54" s="9" t="str">
        <f ca="1">IFERROR(__xludf.DUMMYFUNCTION("""COMPUTED_VALUE"""),"https://gist.github.com/Remy2020/a0558514eb296622e4774bac94009620")</f>
        <v>https://gist.github.com/Remy2020/a0558514eb296622e4774bac94009620</v>
      </c>
      <c r="T54" s="6" t="str">
        <f ca="1">IFERROR(__xludf.DUMMYFUNCTION("""COMPUTED_VALUE"""),"BLOB")</f>
        <v>BLOB</v>
      </c>
      <c r="U54" s="6" t="str">
        <f ca="1">IFERROR(__xludf.DUMMYFUNCTION("""COMPUTED_VALUE"""),"Used satellite imagery and followed google maps")</f>
        <v>Used satellite imagery and followed google maps</v>
      </c>
      <c r="V54" s="6" t="str">
        <f ca="1">IFERROR(__xludf.DUMMYFUNCTION("""COMPUTED_VALUE"""),"Yes (Both)")</f>
        <v>Yes (Both)</v>
      </c>
      <c r="W54" s="6" t="str">
        <f ca="1">IFERROR(__xludf.DUMMYFUNCTION("""COMPUTED_VALUE"""),"Las Tunas")</f>
        <v>Las Tunas</v>
      </c>
      <c r="X54" s="6"/>
      <c r="Y54" s="6"/>
      <c r="Z54" s="6" t="str">
        <f ca="1">IFERROR(__xludf.DUMMYFUNCTION("""COMPUTED_VALUE"""),"LAT: 21.23666  LON: -76.32082")</f>
        <v>LAT: 21.23666  LON: -76.32082</v>
      </c>
      <c r="AA54" s="6"/>
      <c r="AB54" s="6"/>
      <c r="AC54" s="6"/>
      <c r="AD54" s="6"/>
      <c r="AE54" s="6"/>
      <c r="AF54" s="6"/>
      <c r="AG54" s="6"/>
    </row>
    <row r="55" spans="1:33" ht="79.2" x14ac:dyDescent="0.25">
      <c r="A55" s="6">
        <f ca="1">IFERROR(__xludf.DUMMYFUNCTION("""COMPUTED_VALUE"""),55)</f>
        <v>55</v>
      </c>
      <c r="B55" s="10">
        <f ca="1">IFERROR(__xludf.DUMMYFUNCTION("""COMPUTED_VALUE"""),3)</f>
        <v>3</v>
      </c>
      <c r="C55" s="6" t="str">
        <f ca="1">IFERROR(__xludf.DUMMYFUNCTION("""COMPUTED_VALUE"""),"Mariel Solar S.A. Site 1")</f>
        <v>Mariel Solar S.A. Site 1</v>
      </c>
      <c r="D55" s="6" t="str">
        <f ca="1">IFERROR(__xludf.DUMMYFUNCTION("""COMPUTED_VALUE"""),"Other Chinese Institution")</f>
        <v>Other Chinese Institution</v>
      </c>
      <c r="E55" s="6" t="str">
        <f ca="1">IFERROR(__xludf.DUMMYFUNCTION("""COMPUTED_VALUE"""),"Hive Energy and SE Investment Co (subsidiary of Shanghai Electric)")</f>
        <v>Hive Energy and SE Investment Co (subsidiary of Shanghai Electric)</v>
      </c>
      <c r="F55" s="6" t="str">
        <f ca="1">IFERROR(__xludf.DUMMYFUNCTION("""COMPUTED_VALUE"""),"EDIFRE, the state engineering company (Investment Development Company for Renewable Energy Sources)")</f>
        <v>EDIFRE, the state engineering company (Investment Development Company for Renewable Energy Sources)</v>
      </c>
      <c r="G55" s="6">
        <f ca="1">IFERROR(__xludf.DUMMYFUNCTION("""COMPUTED_VALUE"""),3)</f>
        <v>3</v>
      </c>
      <c r="H55" s="6" t="str">
        <f ca="1">IFERROR(__xludf.DUMMYFUNCTION("""COMPUTED_VALUE"""),"Energy - sustainable")</f>
        <v>Energy - sustainable</v>
      </c>
      <c r="I55" s="6" t="str">
        <f ca="1">IFERROR(__xludf.DUMMYFUNCTION("""COMPUTED_VALUE"""),"Joint Venture")</f>
        <v>Joint Venture</v>
      </c>
      <c r="J55" s="7" t="str">
        <f ca="1">IFERROR(__xludf.DUMMYFUNCTION("""COMPUTED_VALUE"""),"$20,000,000 USD")</f>
        <v>$20,000,000 USD</v>
      </c>
      <c r="K55" s="6" t="str">
        <f ca="1">IFERROR(__xludf.DUMMYFUNCTION("""COMPUTED_VALUE"""),"CUB")</f>
        <v>CUB</v>
      </c>
      <c r="L55" s="6" t="str">
        <f ca="1">IFERROR(__xludf.DUMMYFUNCTION("""COMPUTED_VALUE"""),"Cuba")</f>
        <v>Cuba</v>
      </c>
      <c r="M55" s="6" t="str">
        <f ca="1">IFERROR(__xludf.DUMMYFUNCTION("""COMPUTED_VALUE"""),"Mariel Special Development Zone, Cuba")</f>
        <v>Mariel Special Development Zone, Cuba</v>
      </c>
      <c r="N55" s="6" t="str">
        <f ca="1">IFERROR(__xludf.DUMMYFUNCTION("""COMPUTED_VALUE"""),"Hive, a South Hampton-based company, formed a joint venture with with SE Energy Investment (A British subsidiary of Shanghai Electric Group) called Mariel Solar S.A. where three utility photovoltaic parks with 300,000 solar panels will be constructed. The"&amp;" solar panels will be constructed on approximately 118 acres at the Mariel Development Zone. The three utility-sized parks together will be one of the largest solar parks in the Caribbean with a total output of 50 megawatts. They are expected to generate "&amp;"100,000MWh of electricity annually. Construction officially began in March 2019 and was expected to be finished by December but is ongoing. The entire project cost a projected $60 million USD, or an average of $20 million USD per site.")</f>
        <v>Hive, a South Hampton-based company, formed a joint venture with with SE Energy Investment (A British subsidiary of Shanghai Electric Group) called Mariel Solar S.A. where three utility photovoltaic parks with 300,000 solar panels will be constructed. The solar panels will be constructed on approximately 118 acres at the Mariel Development Zone. The three utility-sized parks together will be one of the largest solar parks in the Caribbean with a total output of 50 megawatts. They are expected to generate 100,000MWh of electricity annually. Construction officially began in March 2019 and was expected to be finished by December but is ongoing. The entire project cost a projected $60 million USD, or an average of $20 million USD per site.</v>
      </c>
      <c r="O55" s="6" t="str">
        <f ca="1">IFERROR(__xludf.DUMMYFUNCTION("""COMPUTED_VALUE"""),"03/00/2019")</f>
        <v>03/00/2019</v>
      </c>
      <c r="P55" s="6" t="str">
        <f ca="1">IFERROR(__xludf.DUMMYFUNCTION("""COMPUTED_VALUE"""),"N/A")</f>
        <v>N/A</v>
      </c>
      <c r="Q55" s="6" t="str">
        <f ca="1">IFERROR(__xludf.DUMMYFUNCTION("""COMPUTED_VALUE"""),"Under construction - delayed")</f>
        <v>Under construction - delayed</v>
      </c>
      <c r="R55" s="6" t="str">
        <f ca="1">IFERROR(__xludf.DUMMYFUNCTION("""COMPUTED_VALUE"""),"PS")</f>
        <v>PS</v>
      </c>
      <c r="S55" s="9" t="str">
        <f ca="1">IFERROR(__xludf.DUMMYFUNCTION("""COMPUTED_VALUE"""),"https://gist.github.com/micrittenden/4db5cfb1de6a4fe919ed7b01ec1e5f0e")</f>
        <v>https://gist.github.com/micrittenden/4db5cfb1de6a4fe919ed7b01ec1e5f0e</v>
      </c>
      <c r="T55" s="6" t="str">
        <f ca="1">IFERROR(__xludf.DUMMYFUNCTION("""COMPUTED_VALUE"""),"BLOB")</f>
        <v>BLOB</v>
      </c>
      <c r="U55" s="6" t="str">
        <f ca="1">IFERROR(__xludf.DUMMYFUNCTION("""COMPUTED_VALUE"""),"Coded site 1 for the Mariel Solar Parks using Google Earth Pro")</f>
        <v>Coded site 1 for the Mariel Solar Parks using Google Earth Pro</v>
      </c>
      <c r="V55" s="6" t="str">
        <f ca="1">IFERROR(__xludf.DUMMYFUNCTION("""COMPUTED_VALUE"""),"Yes (Both)")</f>
        <v>Yes (Both)</v>
      </c>
      <c r="W55" s="6" t="str">
        <f ca="1">IFERROR(__xludf.DUMMYFUNCTION("""COMPUTED_VALUE"""),"Artemisa")</f>
        <v>Artemisa</v>
      </c>
      <c r="X55" s="6"/>
      <c r="Y55" s="6"/>
      <c r="Z55" s="6"/>
      <c r="AA55" s="6"/>
      <c r="AB55" s="6"/>
      <c r="AC55" s="6"/>
      <c r="AD55" s="6"/>
      <c r="AE55" s="6"/>
      <c r="AF55" s="6"/>
      <c r="AG55" s="6"/>
    </row>
    <row r="56" spans="1:33" ht="66" x14ac:dyDescent="0.25">
      <c r="A56" s="6">
        <f ca="1">IFERROR(__xludf.DUMMYFUNCTION("""COMPUTED_VALUE"""),56)</f>
        <v>56</v>
      </c>
      <c r="B56" s="10">
        <f ca="1">IFERROR(__xludf.DUMMYFUNCTION("""COMPUTED_VALUE"""),3)</f>
        <v>3</v>
      </c>
      <c r="C56" s="6" t="str">
        <f ca="1">IFERROR(__xludf.DUMMYFUNCTION("""COMPUTED_VALUE"""),"Sugar Bioelectric Plant")</f>
        <v>Sugar Bioelectric Plant</v>
      </c>
      <c r="D56" s="6" t="str">
        <f ca="1">IFERROR(__xludf.DUMMYFUNCTION("""COMPUTED_VALUE"""),"Other Chinese Institution")</f>
        <v>Other Chinese Institution</v>
      </c>
      <c r="E56" s="6" t="str">
        <f ca="1">IFERROR(__xludf.DUMMYFUNCTION("""COMPUTED_VALUE"""),"Shanghai Electric")</f>
        <v>Shanghai Electric</v>
      </c>
      <c r="F56" s="6" t="str">
        <f ca="1">IFERROR(__xludf.DUMMYFUNCTION("""COMPUTED_VALUE"""),"Shanghai Electric and Biopower (Havana Energy and Azcuba)")</f>
        <v>Shanghai Electric and Biopower (Havana Energy and Azcuba)</v>
      </c>
      <c r="G56" s="6">
        <f ca="1">IFERROR(__xludf.DUMMYFUNCTION("""COMPUTED_VALUE"""),3)</f>
        <v>3</v>
      </c>
      <c r="H56" s="6" t="str">
        <f ca="1">IFERROR(__xludf.DUMMYFUNCTION("""COMPUTED_VALUE"""),"Energy - sustainable")</f>
        <v>Energy - sustainable</v>
      </c>
      <c r="I56" s="6" t="str">
        <f ca="1">IFERROR(__xludf.DUMMYFUNCTION("""COMPUTED_VALUE"""),"Joint Venture")</f>
        <v>Joint Venture</v>
      </c>
      <c r="J56" s="7" t="str">
        <f ca="1">IFERROR(__xludf.DUMMYFUNCTION("""COMPUTED_VALUE"""),"N/A")</f>
        <v>N/A</v>
      </c>
      <c r="K56" s="6" t="str">
        <f ca="1">IFERROR(__xludf.DUMMYFUNCTION("""COMPUTED_VALUE"""),"CUB")</f>
        <v>CUB</v>
      </c>
      <c r="L56" s="6" t="str">
        <f ca="1">IFERROR(__xludf.DUMMYFUNCTION("""COMPUTED_VALUE"""),"Cuba")</f>
        <v>Cuba</v>
      </c>
      <c r="M56" s="6" t="str">
        <f ca="1">IFERROR(__xludf.DUMMYFUNCTION("""COMPUTED_VALUE"""),"Ciro Redondo, Cuba")</f>
        <v>Ciro Redondo, Cuba</v>
      </c>
      <c r="N56" s="6" t="str">
        <f ca="1">IFERROR(__xludf.DUMMYFUNCTION("""COMPUTED_VALUE"""),"Joint venture between Biopower (subsidiary between Azcuba and Havana Energy) and Shanghai Electric, 50/50 venture between both companies to build 5 plants with attached sugar mills.  The bioelectrical plant is expected to generate 62 megawatts.  Shanghai "&amp;"Electric is importing and building the plant, and it is offering loans to help finance the project.  The plant relies on sustainable energy as it generates energy from renewable sources and thus is environmentally conscious. In Demeber 2019, it was report"&amp;"ed that the plant would be operational in January 2020.")</f>
        <v>Joint venture between Biopower (subsidiary between Azcuba and Havana Energy) and Shanghai Electric, 50/50 venture between both companies to build 5 plants with attached sugar mills.  The bioelectrical plant is expected to generate 62 megawatts.  Shanghai Electric is importing and building the plant, and it is offering loans to help finance the project.  The plant relies on sustainable energy as it generates energy from renewable sources and thus is environmentally conscious. In Demeber 2019, it was reported that the plant would be operational in January 2020.</v>
      </c>
      <c r="O56" s="6" t="str">
        <f ca="1">IFERROR(__xludf.DUMMYFUNCTION("""COMPUTED_VALUE"""),"05/00/2017")</f>
        <v>05/00/2017</v>
      </c>
      <c r="P56" s="6" t="str">
        <f ca="1">IFERROR(__xludf.DUMMYFUNCTION("""COMPUTED_VALUE"""),"01/00/2020")</f>
        <v>01/00/2020</v>
      </c>
      <c r="Q56" s="6" t="str">
        <f ca="1">IFERROR(__xludf.DUMMYFUNCTION("""COMPUTED_VALUE"""),"Completed")</f>
        <v>Completed</v>
      </c>
      <c r="R56" s="6" t="str">
        <f ca="1">IFERROR(__xludf.DUMMYFUNCTION("""COMPUTED_VALUE"""),"PS")</f>
        <v>PS</v>
      </c>
      <c r="S56" s="9" t="str">
        <f ca="1">IFERROR(__xludf.DUMMYFUNCTION("""COMPUTED_VALUE"""),"https://gist.github.com/Remy2020/60e99e83390407cc1aab7353d219de1e")</f>
        <v>https://gist.github.com/Remy2020/60e99e83390407cc1aab7353d219de1e</v>
      </c>
      <c r="T56" s="6" t="str">
        <f ca="1">IFERROR(__xludf.DUMMYFUNCTION("""COMPUTED_VALUE"""),"BLOB")</f>
        <v>BLOB</v>
      </c>
      <c r="U56" s="6" t="str">
        <f ca="1">IFERROR(__xludf.DUMMYFUNCTION("""COMPUTED_VALUE"""),"Used satellite imagery and followed google maps")</f>
        <v>Used satellite imagery and followed google maps</v>
      </c>
      <c r="V56" s="6" t="str">
        <f ca="1">IFERROR(__xludf.DUMMYFUNCTION("""COMPUTED_VALUE"""),"Yes (Both)")</f>
        <v>Yes (Both)</v>
      </c>
      <c r="W56" s="6" t="str">
        <f ca="1">IFERROR(__xludf.DUMMYFUNCTION("""COMPUTED_VALUE"""),"Ciego de Avila")</f>
        <v>Ciego de Avila</v>
      </c>
      <c r="X56" s="6"/>
      <c r="Y56" s="6"/>
      <c r="Z56" s="6" t="str">
        <f ca="1">IFERROR(__xludf.DUMMYFUNCTION("""COMPUTED_VALUE"""),"LAT: 22.00898  LON: -78.70627")</f>
        <v>LAT: 22.00898  LON: -78.70627</v>
      </c>
      <c r="AA56" s="6"/>
      <c r="AB56" s="6"/>
      <c r="AC56" s="6"/>
      <c r="AD56" s="6"/>
      <c r="AE56" s="6"/>
      <c r="AF56" s="6"/>
      <c r="AG56" s="6"/>
    </row>
    <row r="57" spans="1:33" ht="39.6" x14ac:dyDescent="0.25">
      <c r="A57" s="6">
        <f ca="1">IFERROR(__xludf.DUMMYFUNCTION("""COMPUTED_VALUE"""),57)</f>
        <v>57</v>
      </c>
      <c r="B57" s="10">
        <f ca="1">IFERROR(__xludf.DUMMYFUNCTION("""COMPUTED_VALUE"""),2)</f>
        <v>2</v>
      </c>
      <c r="C57" s="6" t="str">
        <f ca="1">IFERROR(__xludf.DUMMYFUNCTION("""COMPUTED_VALUE"""),"Purchase of 100 Locomotives")</f>
        <v>Purchase of 100 Locomotives</v>
      </c>
      <c r="D57" s="6" t="str">
        <f ca="1">IFERROR(__xludf.DUMMYFUNCTION("""COMPUTED_VALUE"""),"Other Institution")</f>
        <v>Other Institution</v>
      </c>
      <c r="E57" s="6" t="str">
        <f ca="1">IFERROR(__xludf.DUMMYFUNCTION("""COMPUTED_VALUE"""),"Govt. of Cuba")</f>
        <v>Govt. of Cuba</v>
      </c>
      <c r="F57" s="6" t="str">
        <f ca="1">IFERROR(__xludf.DUMMYFUNCTION("""COMPUTED_VALUE"""),"N/A")</f>
        <v>N/A</v>
      </c>
      <c r="G57" s="6">
        <f ca="1">IFERROR(__xludf.DUMMYFUNCTION("""COMPUTED_VALUE"""),11)</f>
        <v>11</v>
      </c>
      <c r="H57" s="6" t="str">
        <f ca="1">IFERROR(__xludf.DUMMYFUNCTION("""COMPUTED_VALUE"""),"Rail")</f>
        <v>Rail</v>
      </c>
      <c r="I57" s="6" t="str">
        <f ca="1">IFERROR(__xludf.DUMMYFUNCTION("""COMPUTED_VALUE"""),"Purchase")</f>
        <v>Purchase</v>
      </c>
      <c r="J57" s="6" t="str">
        <f ca="1">IFERROR(__xludf.DUMMYFUNCTION("""COMPUTED_VALUE"""),"$130,000,000 USD")</f>
        <v>$130,000,000 USD</v>
      </c>
      <c r="K57" s="6" t="str">
        <f ca="1">IFERROR(__xludf.DUMMYFUNCTION("""COMPUTED_VALUE"""),"CUB")</f>
        <v>CUB</v>
      </c>
      <c r="L57" s="6" t="str">
        <f ca="1">IFERROR(__xludf.DUMMYFUNCTION("""COMPUTED_VALUE"""),"Cuba")</f>
        <v>Cuba</v>
      </c>
      <c r="M57" s="6" t="str">
        <f ca="1">IFERROR(__xludf.DUMMYFUNCTION("""COMPUTED_VALUE"""),"Country-wide")</f>
        <v>Country-wide</v>
      </c>
      <c r="N57" s="6" t="str">
        <f ca="1">IFERROR(__xludf.DUMMYFUNCTION("""COMPUTED_VALUE"""),"Cuba has purchased 100 locomotives from China for US$130 million. This purchase comes alongside purchases of 550 freight cars and 200 modern passenger coaches from Iran.  Prior to these purchases Cuban railways were deteriorating for years due to lack of "&amp;"maintenance, equipment, and spare parts. Under this new program, rail transport has risen by 13 percent.")</f>
        <v>Cuba has purchased 100 locomotives from China for US$130 million. This purchase comes alongside purchases of 550 freight cars and 200 modern passenger coaches from Iran.  Prior to these purchases Cuban railways were deteriorating for years due to lack of maintenance, equipment, and spare parts. Under this new program, rail transport has risen by 13 percent.</v>
      </c>
      <c r="O57" s="6" t="str">
        <f ca="1">IFERROR(__xludf.DUMMYFUNCTION("""COMPUTED_VALUE"""),"06/00/2006")</f>
        <v>06/00/2006</v>
      </c>
      <c r="P57" s="6" t="str">
        <f ca="1">IFERROR(__xludf.DUMMYFUNCTION("""COMPUTED_VALUE"""),"N/A")</f>
        <v>N/A</v>
      </c>
      <c r="Q57" s="6" t="str">
        <f ca="1">IFERROR(__xludf.DUMMYFUNCTION("""COMPUTED_VALUE"""),"Completed")</f>
        <v>Completed</v>
      </c>
      <c r="R57" s="6" t="str">
        <f ca="1">IFERROR(__xludf.DUMMYFUNCTION("""COMPUTED_VALUE"""),"UNM")</f>
        <v>UNM</v>
      </c>
      <c r="S57" s="6" t="str">
        <f ca="1">IFERROR(__xludf.DUMMYFUNCTION("""COMPUTED_VALUE"""),"N/A")</f>
        <v>N/A</v>
      </c>
      <c r="T57" s="6" t="str">
        <f ca="1">IFERROR(__xludf.DUMMYFUNCTION("""COMPUTED_VALUE"""),"UNM")</f>
        <v>UNM</v>
      </c>
      <c r="U57" s="6" t="str">
        <f ca="1">IFERROR(__xludf.DUMMYFUNCTION("""COMPUTED_VALUE"""),"Unmappable")</f>
        <v>Unmappable</v>
      </c>
      <c r="V57" s="6" t="str">
        <f ca="1">IFERROR(__xludf.DUMMYFUNCTION("""COMPUTED_VALUE"""),"No")</f>
        <v>No</v>
      </c>
      <c r="W57" s="6" t="str">
        <f ca="1">IFERROR(__xludf.DUMMYFUNCTION("""COMPUTED_VALUE"""),"NA")</f>
        <v>NA</v>
      </c>
      <c r="X57" s="6" t="str">
        <f ca="1">IFERROR(__xludf.DUMMYFUNCTION("""COMPUTED_VALUE"""),"N/A")</f>
        <v>N/A</v>
      </c>
      <c r="Y57" s="6" t="str">
        <f ca="1">IFERROR(__xludf.DUMMYFUNCTION("""COMPUTED_VALUE"""),"N/A")</f>
        <v>N/A</v>
      </c>
      <c r="Z57" s="6" t="str">
        <f ca="1">IFERROR(__xludf.DUMMYFUNCTION("""COMPUTED_VALUE"""),"N/A")</f>
        <v>N/A</v>
      </c>
      <c r="AA57" s="6"/>
      <c r="AB57" s="6"/>
      <c r="AC57" s="6"/>
      <c r="AD57" s="6"/>
      <c r="AE57" s="6"/>
      <c r="AF57" s="6"/>
      <c r="AG57" s="6"/>
    </row>
    <row r="58" spans="1:33" ht="52.8" x14ac:dyDescent="0.25">
      <c r="A58" s="6">
        <f ca="1">IFERROR(__xludf.DUMMYFUNCTION("""COMPUTED_VALUE"""),58)</f>
        <v>58</v>
      </c>
      <c r="B58" s="10">
        <f ca="1">IFERROR(__xludf.DUMMYFUNCTION("""COMPUTED_VALUE"""),3)</f>
        <v>3</v>
      </c>
      <c r="C58" s="6" t="str">
        <f ca="1">IFERROR(__xludf.DUMMYFUNCTION("""COMPUTED_VALUE"""),"Purchase of Yutong Buses")</f>
        <v>Purchase of Yutong Buses</v>
      </c>
      <c r="D58" s="6" t="str">
        <f ca="1">IFERROR(__xludf.DUMMYFUNCTION("""COMPUTED_VALUE"""),"Other Institution")</f>
        <v>Other Institution</v>
      </c>
      <c r="E58" s="6" t="str">
        <f ca="1">IFERROR(__xludf.DUMMYFUNCTION("""COMPUTED_VALUE"""),"Govt. of Cuba")</f>
        <v>Govt. of Cuba</v>
      </c>
      <c r="F58" s="6" t="str">
        <f ca="1">IFERROR(__xludf.DUMMYFUNCTION("""COMPUTED_VALUE"""),"Zhengzhou Yutong Group Co")</f>
        <v>Zhengzhou Yutong Group Co</v>
      </c>
      <c r="G58" s="6">
        <f ca="1">IFERROR(__xludf.DUMMYFUNCTION("""COMPUTED_VALUE"""),11)</f>
        <v>11</v>
      </c>
      <c r="H58" s="6" t="str">
        <f ca="1">IFERROR(__xludf.DUMMYFUNCTION("""COMPUTED_VALUE"""),"Transportation - general")</f>
        <v>Transportation - general</v>
      </c>
      <c r="I58" s="6" t="str">
        <f ca="1">IFERROR(__xludf.DUMMYFUNCTION("""COMPUTED_VALUE"""),"Purchase")</f>
        <v>Purchase</v>
      </c>
      <c r="J58" s="6" t="str">
        <f ca="1">IFERROR(__xludf.DUMMYFUNCTION("""COMPUTED_VALUE"""),"$370,000,000 USD")</f>
        <v>$370,000,000 USD</v>
      </c>
      <c r="K58" s="6" t="str">
        <f ca="1">IFERROR(__xludf.DUMMYFUNCTION("""COMPUTED_VALUE"""),"CUB")</f>
        <v>CUB</v>
      </c>
      <c r="L58" s="6" t="str">
        <f ca="1">IFERROR(__xludf.DUMMYFUNCTION("""COMPUTED_VALUE"""),"Cuba")</f>
        <v>Cuba</v>
      </c>
      <c r="M58" s="6" t="str">
        <f ca="1">IFERROR(__xludf.DUMMYFUNCTION("""COMPUTED_VALUE"""),"Country-wide")</f>
        <v>Country-wide</v>
      </c>
      <c r="N58" s="6" t="str">
        <f ca="1">IFERROR(__xludf.DUMMYFUNCTION("""COMPUTED_VALUE"""),"Cuba initially purchased 12 Yutong buses from Zhengzhou Yutong Group in 2005 and then continued its purchases with ordering another 5,348 Yutong buses from China approximating to $370million in 2008. Since then, Yutong has sold more than 6,800 units to Cu"&amp;"ba. The buses are part of Cuba's plan to implement better transportation networks. The purchasing of the Yutong buses has made transportation more efficient with wait times decreasing and less packed buses. ")</f>
        <v xml:space="preserve">Cuba initially purchased 12 Yutong buses from Zhengzhou Yutong Group in 2005 and then continued its purchases with ordering another 5,348 Yutong buses from China approximating to $370million in 2008. Since then, Yutong has sold more than 6,800 units to Cuba. The buses are part of Cuba's plan to implement better transportation networks. The purchasing of the Yutong buses has made transportation more efficient with wait times decreasing and less packed buses. </v>
      </c>
      <c r="O58" s="6" t="str">
        <f ca="1">IFERROR(__xludf.DUMMYFUNCTION("""COMPUTED_VALUE"""),"06/00/2006")</f>
        <v>06/00/2006</v>
      </c>
      <c r="P58" s="6" t="str">
        <f ca="1">IFERROR(__xludf.DUMMYFUNCTION("""COMPUTED_VALUE"""),"N/A")</f>
        <v>N/A</v>
      </c>
      <c r="Q58" s="6" t="str">
        <f ca="1">IFERROR(__xludf.DUMMYFUNCTION("""COMPUTED_VALUE"""),"Completed")</f>
        <v>Completed</v>
      </c>
      <c r="R58" s="6" t="str">
        <f ca="1">IFERROR(__xludf.DUMMYFUNCTION("""COMPUTED_VALUE"""),"UNM")</f>
        <v>UNM</v>
      </c>
      <c r="S58" s="6" t="str">
        <f ca="1">IFERROR(__xludf.DUMMYFUNCTION("""COMPUTED_VALUE"""),"N/A")</f>
        <v>N/A</v>
      </c>
      <c r="T58" s="6" t="str">
        <f ca="1">IFERROR(__xludf.DUMMYFUNCTION("""COMPUTED_VALUE"""),"UNM")</f>
        <v>UNM</v>
      </c>
      <c r="U58" s="6" t="str">
        <f ca="1">IFERROR(__xludf.DUMMYFUNCTION("""COMPUTED_VALUE"""),"Unmappable")</f>
        <v>Unmappable</v>
      </c>
      <c r="V58" s="6" t="str">
        <f ca="1">IFERROR(__xludf.DUMMYFUNCTION("""COMPUTED_VALUE"""),"No")</f>
        <v>No</v>
      </c>
      <c r="W58" s="6" t="str">
        <f ca="1">IFERROR(__xludf.DUMMYFUNCTION("""COMPUTED_VALUE"""),"NA")</f>
        <v>NA</v>
      </c>
      <c r="X58" s="6" t="str">
        <f ca="1">IFERROR(__xludf.DUMMYFUNCTION("""COMPUTED_VALUE"""),"N/A")</f>
        <v>N/A</v>
      </c>
      <c r="Y58" s="6" t="str">
        <f ca="1">IFERROR(__xludf.DUMMYFUNCTION("""COMPUTED_VALUE"""),"N/A")</f>
        <v>N/A</v>
      </c>
      <c r="Z58" s="6" t="str">
        <f ca="1">IFERROR(__xludf.DUMMYFUNCTION("""COMPUTED_VALUE"""),"N/A")</f>
        <v>N/A</v>
      </c>
      <c r="AA58" s="6"/>
      <c r="AB58" s="6"/>
      <c r="AC58" s="6"/>
      <c r="AD58" s="6"/>
      <c r="AE58" s="6"/>
      <c r="AF58" s="6"/>
      <c r="AG58" s="6"/>
    </row>
    <row r="59" spans="1:33" ht="79.2" x14ac:dyDescent="0.25">
      <c r="A59" s="6">
        <f ca="1">IFERROR(__xludf.DUMMYFUNCTION("""COMPUTED_VALUE"""),59)</f>
        <v>59</v>
      </c>
      <c r="B59" s="10">
        <f ca="1">IFERROR(__xludf.DUMMYFUNCTION("""COMPUTED_VALUE"""),4)</f>
        <v>4</v>
      </c>
      <c r="C59" s="6" t="str">
        <f ca="1">IFERROR(__xludf.DUMMYFUNCTION("""COMPUTED_VALUE"""),"Las Camariocas Nickel and Cobalt Plant")</f>
        <v>Las Camariocas Nickel and Cobalt Plant</v>
      </c>
      <c r="D59" s="6" t="str">
        <f ca="1">IFERROR(__xludf.DUMMYFUNCTION("""COMPUTED_VALUE"""),"CDB")</f>
        <v>CDB</v>
      </c>
      <c r="E59" s="6" t="str">
        <f ca="1">IFERROR(__xludf.DUMMYFUNCTION("""COMPUTED_VALUE"""),"Sinosure (Chinese Export and Credit Insurance Corporation)")</f>
        <v>Sinosure (Chinese Export and Credit Insurance Corporation)</v>
      </c>
      <c r="F59" s="6" t="str">
        <f ca="1">IFERROR(__xludf.DUMMYFUNCTION("""COMPUTED_VALUE"""),"Minmetal Corporation")</f>
        <v>Minmetal Corporation</v>
      </c>
      <c r="G59" s="6">
        <f ca="1">IFERROR(__xludf.DUMMYFUNCTION("""COMPUTED_VALUE"""),4)</f>
        <v>4</v>
      </c>
      <c r="H59" s="6" t="str">
        <f ca="1">IFERROR(__xludf.DUMMYFUNCTION("""COMPUTED_VALUE"""),"Manufacturing / Production")</f>
        <v>Manufacturing / Production</v>
      </c>
      <c r="I59" s="6" t="str">
        <f ca="1">IFERROR(__xludf.DUMMYFUNCTION("""COMPUTED_VALUE"""),"Investment")</f>
        <v>Investment</v>
      </c>
      <c r="J59" s="6" t="str">
        <f ca="1">IFERROR(__xludf.DUMMYFUNCTION("""COMPUTED_VALUE"""),"$500,000,000 USD")</f>
        <v>$500,000,000 USD</v>
      </c>
      <c r="K59" s="6" t="str">
        <f ca="1">IFERROR(__xludf.DUMMYFUNCTION("""COMPUTED_VALUE"""),"CUB")</f>
        <v>CUB</v>
      </c>
      <c r="L59" s="6" t="str">
        <f ca="1">IFERROR(__xludf.DUMMYFUNCTION("""COMPUTED_VALUE"""),"Cuba")</f>
        <v>Cuba</v>
      </c>
      <c r="M59" s="6" t="str">
        <f ca="1">IFERROR(__xludf.DUMMYFUNCTION("""COMPUTED_VALUE"""),"Las Camariocas, Holguin, Cuba")</f>
        <v>Las Camariocas, Holguin, Cuba</v>
      </c>
      <c r="N59" s="6" t="str">
        <f ca="1">IFERROR(__xludf.DUMMYFUNCTION("""COMPUTED_VALUE"""),"In 2004 China invested US$500 million in the completion and operation of Las Camariocas, an unfinished processing facility from the Soviet era. Under the agreement, Cubaniquel, the state-run nickel producer, owned 51 percent and their Chinese counterpart,"&amp;" Minmetals Corporation, owned 49 percent. Financing for the project initially stemmed from the China Development Bank, with Sinosure, the Chinese Export and Credit Insurance Corporation, providing guarantee. Las Camariocas produces Ferro Nickel, a stainle"&amp;"ss steel feed product. In 2007, Minmetal Corporation was replaced by the Venezuelan government as the main partner in the ferronickel joint venture, giving $600 million.")</f>
        <v>In 2004 China invested US$500 million in the completion and operation of Las Camariocas, an unfinished processing facility from the Soviet era. Under the agreement, Cubaniquel, the state-run nickel producer, owned 51 percent and their Chinese counterpart, Minmetals Corporation, owned 49 percent. Financing for the project initially stemmed from the China Development Bank, with Sinosure, the Chinese Export and Credit Insurance Corporation, providing guarantee. Las Camariocas produces Ferro Nickel, a stainless steel feed product. In 2007, Minmetal Corporation was replaced by the Venezuelan government as the main partner in the ferronickel joint venture, giving $600 million.</v>
      </c>
      <c r="O59" s="6" t="str">
        <f ca="1">IFERROR(__xludf.DUMMYFUNCTION("""COMPUTED_VALUE"""),"00/00/2004")</f>
        <v>00/00/2004</v>
      </c>
      <c r="P59" s="6" t="str">
        <f ca="1">IFERROR(__xludf.DUMMYFUNCTION("""COMPUTED_VALUE"""),"00/00/2006")</f>
        <v>00/00/2006</v>
      </c>
      <c r="Q59" s="6" t="str">
        <f ca="1">IFERROR(__xludf.DUMMYFUNCTION("""COMPUTED_VALUE"""),"Cancelled")</f>
        <v>Cancelled</v>
      </c>
      <c r="R59" s="6" t="str">
        <f ca="1">IFERROR(__xludf.DUMMYFUNCTION("""COMPUTED_VALUE"""),"MFG")</f>
        <v>MFG</v>
      </c>
      <c r="S59" s="9" t="str">
        <f ca="1">IFERROR(__xludf.DUMMYFUNCTION("""COMPUTED_VALUE"""),"https://gist.github.com/micrittenden/15b51d97c2397a948a019ccedb285c99")</f>
        <v>https://gist.github.com/micrittenden/15b51d97c2397a948a019ccedb285c99</v>
      </c>
      <c r="T59" s="6" t="str">
        <f ca="1">IFERROR(__xludf.DUMMYFUNCTION("""COMPUTED_VALUE"""),"BLOB")</f>
        <v>BLOB</v>
      </c>
      <c r="U59" s="6" t="str">
        <f ca="1">IFERROR(__xludf.DUMMYFUNCTION("""COMPUTED_VALUE"""),"Used satellite imagery and google maps.")</f>
        <v>Used satellite imagery and google maps.</v>
      </c>
      <c r="V59" s="6" t="str">
        <f ca="1">IFERROR(__xludf.DUMMYFUNCTION("""COMPUTED_VALUE"""),"Yes (Both)")</f>
        <v>Yes (Both)</v>
      </c>
      <c r="W59" s="6" t="str">
        <f ca="1">IFERROR(__xludf.DUMMYFUNCTION("""COMPUTED_VALUE"""),"Holguin")</f>
        <v>Holguin</v>
      </c>
      <c r="X59" s="6"/>
      <c r="Y59" s="6"/>
      <c r="Z59" s="6"/>
      <c r="AA59" s="6"/>
      <c r="AB59" s="6"/>
      <c r="AC59" s="6"/>
      <c r="AD59" s="6"/>
      <c r="AE59" s="6"/>
      <c r="AF59" s="6"/>
      <c r="AG59" s="6"/>
    </row>
    <row r="60" spans="1:33" ht="52.8" x14ac:dyDescent="0.25">
      <c r="A60" s="6">
        <f ca="1">IFERROR(__xludf.DUMMYFUNCTION("""COMPUTED_VALUE"""),60)</f>
        <v>60</v>
      </c>
      <c r="B60" s="10">
        <f ca="1">IFERROR(__xludf.DUMMYFUNCTION("""COMPUTED_VALUE"""),2)</f>
        <v>2</v>
      </c>
      <c r="C60" s="6" t="str">
        <f ca="1">IFERROR(__xludf.DUMMYFUNCTION("""COMPUTED_VALUE"""),"ALBA-1 undersea cable")</f>
        <v>ALBA-1 undersea cable</v>
      </c>
      <c r="D60" s="6" t="str">
        <f ca="1">IFERROR(__xludf.DUMMYFUNCTION("""COMPUTED_VALUE"""),"Other Chinese Institution")</f>
        <v>Other Chinese Institution</v>
      </c>
      <c r="E60" s="6" t="str">
        <f ca="1">IFERROR(__xludf.DUMMYFUNCTION("""COMPUTED_VALUE"""),"Alcatel-Lucent Shanghai Bell (ASB)")</f>
        <v>Alcatel-Lucent Shanghai Bell (ASB)</v>
      </c>
      <c r="F60" s="6" t="str">
        <f ca="1">IFERROR(__xludf.DUMMYFUNCTION("""COMPUTED_VALUE"""),"Alcatel-Lucent Shanghai Bell (ASB)")</f>
        <v>Alcatel-Lucent Shanghai Bell (ASB)</v>
      </c>
      <c r="G60" s="6">
        <f ca="1">IFERROR(__xludf.DUMMYFUNCTION("""COMPUTED_VALUE"""),4)</f>
        <v>4</v>
      </c>
      <c r="H60" s="6" t="str">
        <f ca="1">IFERROR(__xludf.DUMMYFUNCTION("""COMPUTED_VALUE"""),"Telecommunications")</f>
        <v>Telecommunications</v>
      </c>
      <c r="I60" s="6" t="str">
        <f ca="1">IFERROR(__xludf.DUMMYFUNCTION("""COMPUTED_VALUE"""),"Contract")</f>
        <v>Contract</v>
      </c>
      <c r="J60" s="6" t="str">
        <f ca="1">IFERROR(__xludf.DUMMYFUNCTION("""COMPUTED_VALUE"""),"$70,000,000 USD")</f>
        <v>$70,000,000 USD</v>
      </c>
      <c r="K60" s="6" t="str">
        <f ca="1">IFERROR(__xludf.DUMMYFUNCTION("""COMPUTED_VALUE"""),"CUB")</f>
        <v>CUB</v>
      </c>
      <c r="L60" s="6" t="str">
        <f ca="1">IFERROR(__xludf.DUMMYFUNCTION("""COMPUTED_VALUE"""),"Cuba")</f>
        <v>Cuba</v>
      </c>
      <c r="M60" s="6" t="str">
        <f ca="1">IFERROR(__xludf.DUMMYFUNCTION("""COMPUTED_VALUE"""),"La Guaira, VNZ -&gt; Siboney, Cuba")</f>
        <v>La Guaira, VNZ -&gt; Siboney, Cuba</v>
      </c>
      <c r="N60" s="6" t="str">
        <f ca="1">IFERROR(__xludf.DUMMYFUNCTION("""COMPUTED_VALUE"""),"The ALBA-1 undersea cable was installed by a joint venture made up of Alcatel-Lucent Shanghai Bell (ASB) and Telecomunicaciones Gran Caribe (TGC). TGC is itself a joint venture between the Venezuelan and Cuban governments. It is 60% owned by state-run CVG"&amp;" Telecom (now Telecom Venezuela) and 40% by Cuban Transbit. Proposals to build were submitted by ASB and Huawei, both of which are Chinese-state controlled companies.")</f>
        <v>The ALBA-1 undersea cable was installed by a joint venture made up of Alcatel-Lucent Shanghai Bell (ASB) and Telecomunicaciones Gran Caribe (TGC). TGC is itself a joint venture between the Venezuelan and Cuban governments. It is 60% owned by state-run CVG Telecom (now Telecom Venezuela) and 40% by Cuban Transbit. Proposals to build were submitted by ASB and Huawei, both of which are Chinese-state controlled companies.</v>
      </c>
      <c r="O60" s="6" t="str">
        <f ca="1">IFERROR(__xludf.DUMMYFUNCTION("""COMPUTED_VALUE"""),"00/00/2006")</f>
        <v>00/00/2006</v>
      </c>
      <c r="P60" s="6" t="str">
        <f ca="1">IFERROR(__xludf.DUMMYFUNCTION("""COMPUTED_VALUE"""),"00/00/2013")</f>
        <v>00/00/2013</v>
      </c>
      <c r="Q60" s="6" t="str">
        <f ca="1">IFERROR(__xludf.DUMMYFUNCTION("""COMPUTED_VALUE"""),"Completed")</f>
        <v>Completed</v>
      </c>
      <c r="R60" s="6" t="str">
        <f ca="1">IFERROR(__xludf.DUMMYFUNCTION("""COMPUTED_VALUE"""),"UNM")</f>
        <v>UNM</v>
      </c>
      <c r="S60" s="6" t="str">
        <f ca="1">IFERROR(__xludf.DUMMYFUNCTION("""COMPUTED_VALUE"""),"N/A")</f>
        <v>N/A</v>
      </c>
      <c r="T60" s="6" t="str">
        <f ca="1">IFERROR(__xludf.DUMMYFUNCTION("""COMPUTED_VALUE"""),"UNM")</f>
        <v>UNM</v>
      </c>
      <c r="U60" s="6" t="str">
        <f ca="1">IFERROR(__xludf.DUMMYFUNCTION("""COMPUTED_VALUE"""),"Unmappable")</f>
        <v>Unmappable</v>
      </c>
      <c r="V60" s="6" t="str">
        <f ca="1">IFERROR(__xludf.DUMMYFUNCTION("""COMPUTED_VALUE"""),"No")</f>
        <v>No</v>
      </c>
      <c r="W60" s="6" t="str">
        <f ca="1">IFERROR(__xludf.DUMMYFUNCTION("""COMPUTED_VALUE"""),"NA")</f>
        <v>NA</v>
      </c>
      <c r="X60" s="6" t="str">
        <f ca="1">IFERROR(__xludf.DUMMYFUNCTION("""COMPUTED_VALUE"""),"N/A")</f>
        <v>N/A</v>
      </c>
      <c r="Y60" s="6" t="str">
        <f ca="1">IFERROR(__xludf.DUMMYFUNCTION("""COMPUTED_VALUE"""),"N/A")</f>
        <v>N/A</v>
      </c>
      <c r="Z60" s="6" t="str">
        <f ca="1">IFERROR(__xludf.DUMMYFUNCTION("""COMPUTED_VALUE"""),"N/A")</f>
        <v>N/A</v>
      </c>
      <c r="AA60" s="6"/>
      <c r="AB60" s="6"/>
      <c r="AC60" s="6"/>
      <c r="AD60" s="6"/>
      <c r="AE60" s="6"/>
      <c r="AF60" s="6"/>
      <c r="AG60" s="6"/>
    </row>
    <row r="61" spans="1:33" ht="145.19999999999999" x14ac:dyDescent="0.25">
      <c r="A61" s="6">
        <f ca="1">IFERROR(__xludf.DUMMYFUNCTION("""COMPUTED_VALUE"""),61)</f>
        <v>61</v>
      </c>
      <c r="B61" s="6">
        <f ca="1">IFERROR(__xludf.DUMMYFUNCTION("""COMPUTED_VALUE"""),4)</f>
        <v>4</v>
      </c>
      <c r="C61" s="6" t="str">
        <f ca="1">IFERROR(__xludf.DUMMYFUNCTION("""COMPUTED_VALUE"""),"Freeport Container Port")</f>
        <v>Freeport Container Port</v>
      </c>
      <c r="D61" s="6" t="str">
        <f ca="1">IFERROR(__xludf.DUMMYFUNCTION("""COMPUTED_VALUE"""),"CHEXIM")</f>
        <v>CHEXIM</v>
      </c>
      <c r="E61" s="6" t="str">
        <f ca="1">IFERROR(__xludf.DUMMYFUNCTION("""COMPUTED_VALUE"""),"CHEXIM, Government of the Bahamas")</f>
        <v>CHEXIM, Government of the Bahamas</v>
      </c>
      <c r="F61" s="6" t="str">
        <f ca="1">IFERROR(__xludf.DUMMYFUNCTION("""COMPUTED_VALUE"""),"Hutchinson Port Holdings")</f>
        <v>Hutchinson Port Holdings</v>
      </c>
      <c r="G61" s="6">
        <f ca="1">IFERROR(__xludf.DUMMYFUNCTION("""COMPUTED_VALUE"""),7)</f>
        <v>7</v>
      </c>
      <c r="H61" s="6" t="str">
        <f ca="1">IFERROR(__xludf.DUMMYFUNCTION("""COMPUTED_VALUE"""),"Port")</f>
        <v>Port</v>
      </c>
      <c r="I61" s="6" t="str">
        <f ca="1">IFERROR(__xludf.DUMMYFUNCTION("""COMPUTED_VALUE"""),"Joint Venture, Investment")</f>
        <v>Joint Venture, Investment</v>
      </c>
      <c r="J61" s="6" t="str">
        <f ca="1">IFERROR(__xludf.DUMMYFUNCTION("""COMPUTED_VALUE"""),"$3,000,000,000 USD")</f>
        <v>$3,000,000,000 USD</v>
      </c>
      <c r="K61" s="6" t="str">
        <f ca="1">IFERROR(__xludf.DUMMYFUNCTION("""COMPUTED_VALUE"""),"BHS")</f>
        <v>BHS</v>
      </c>
      <c r="L61" s="6" t="str">
        <f ca="1">IFERROR(__xludf.DUMMYFUNCTION("""COMPUTED_VALUE"""),"Bahamas")</f>
        <v>Bahamas</v>
      </c>
      <c r="M61" s="6" t="str">
        <f ca="1">IFERROR(__xludf.DUMMYFUNCTION("""COMPUTED_VALUE"""),"Freeport, Grand Bahama Island, Bahamas")</f>
        <v>Freeport, Grand Bahama Island, Bahamas</v>
      </c>
      <c r="N61" s="6" t="str">
        <f ca="1">IFERROR(__xludf.DUMMYFUNCTION("""COMPUTED_VALUE"""),"This port was opened in 1997 by Hutchinson Ports, a Hong Kong-based company with heavy ties to the Chinese Government. This port operates in the intersection of multiple lanes of international trade and is located near multiple major U.S. ports. Recently,"&amp;" the port is expanding as part of its ""Phase V development"", which will allow it to support additional panamax-size container ships. This port has also received funds from the Chinese Government, reportedly through CHEXIM. This not an official BRI-proje"&amp;"ct because the Bahamas has not yet joined the BRI.")</f>
        <v>This port was opened in 1997 by Hutchinson Ports, a Hong Kong-based company with heavy ties to the Chinese Government. This port operates in the intersection of multiple lanes of international trade and is located near multiple major U.S. ports. Recently, the port is expanding as part of its "Phase V development", which will allow it to support additional panamax-size container ships. This port has also received funds from the Chinese Government, reportedly through CHEXIM. This not an official BRI-project because the Bahamas has not yet joined the BRI.</v>
      </c>
      <c r="O61" s="6" t="str">
        <f ca="1">IFERROR(__xludf.DUMMYFUNCTION("""COMPUTED_VALUE"""),"00/00/1997")</f>
        <v>00/00/1997</v>
      </c>
      <c r="P61" s="6" t="str">
        <f ca="1">IFERROR(__xludf.DUMMYFUNCTION("""COMPUTED_VALUE"""),"N/A")</f>
        <v>N/A</v>
      </c>
      <c r="Q61" s="6" t="str">
        <f ca="1">IFERROR(__xludf.DUMMYFUNCTION("""COMPUTED_VALUE"""),"Under construction - unknown")</f>
        <v>Under construction - unknown</v>
      </c>
      <c r="R61" s="6" t="str">
        <f ca="1">IFERROR(__xludf.DUMMYFUNCTION("""COMPUTED_VALUE"""),"PRT")</f>
        <v>PRT</v>
      </c>
      <c r="S61" s="9" t="str">
        <f ca="1">IFERROR(__xludf.DUMMYFUNCTION("""COMPUTED_VALUE"""),"https://gist.github.com/micrittenden/908c857f59ec4e761a7438b0ac2f30a5")</f>
        <v>https://gist.github.com/micrittenden/908c857f59ec4e761a7438b0ac2f30a5</v>
      </c>
      <c r="T61" s="6" t="str">
        <f ca="1">IFERROR(__xludf.DUMMYFUNCTION("""COMPUTED_VALUE"""),"BLOB")</f>
        <v>BLOB</v>
      </c>
      <c r="U61" s="6" t="str">
        <f ca="1">IFERROR(__xludf.DUMMYFUNCTION("""COMPUTED_VALUE"""),"Used satellite imagery and followed google maps")</f>
        <v>Used satellite imagery and followed google maps</v>
      </c>
      <c r="V61" s="6" t="str">
        <f ca="1">IFERROR(__xludf.DUMMYFUNCTION("""COMPUTED_VALUE"""),"Yes (Geocoded)")</f>
        <v>Yes (Geocoded)</v>
      </c>
      <c r="W61" s="6" t="str">
        <f ca="1">IFERROR(__xludf.DUMMYFUNCTION("""COMPUTED_VALUE"""),"NA")</f>
        <v>NA</v>
      </c>
      <c r="X61" s="6" t="str">
        <f ca="1">IFERROR(__xludf.DUMMYFUNCTION("""COMPUTED_VALUE"""),"2002-03-16 | 2020-01-12 | 2020-05-07")</f>
        <v>2002-03-16 | 2020-01-12 | 2020-05-07</v>
      </c>
      <c r="Y61" s="6" t="str">
        <f ca="1">IFERROR(__xludf.DUMMYFUNCTION("""COMPUTED_VALUE"""),"Imagery shows that the construction is still underway. The other sections of the Freeport Container Port are still in use while the second harbor area to the northwest is being constructed. The quay is being expanded to support greater TEU storage and pro"&amp;"cessing. Construction is also taking place along the eastern side of the port; however, it is unclear whether this is part of the same expansion project or not.")</f>
        <v>Imagery shows that the construction is still underway. The other sections of the Freeport Container Port are still in use while the second harbor area to the northwest is being constructed. The quay is being expanded to support greater TEU storage and processing. Construction is also taking place along the eastern side of the port; however, it is unclear whether this is part of the same expansion project or not.</v>
      </c>
      <c r="Z61" s="6" t="str">
        <f ca="1">IFERROR(__xludf.DUMMYFUNCTION("""COMPUTED_VALUE"""),"LAT: 26.5309 LON: -78.7626")</f>
        <v>LAT: 26.5309 LON: -78.7626</v>
      </c>
      <c r="AA61" s="6"/>
      <c r="AB61" s="6"/>
      <c r="AC61" s="6"/>
      <c r="AD61" s="6"/>
      <c r="AE61" s="6"/>
      <c r="AF61" s="6"/>
      <c r="AG61" s="6"/>
    </row>
    <row r="62" spans="1:33" ht="92.4" x14ac:dyDescent="0.25">
      <c r="A62" s="6">
        <f ca="1">IFERROR(__xludf.DUMMYFUNCTION("""COMPUTED_VALUE"""),62)</f>
        <v>62</v>
      </c>
      <c r="B62" s="6">
        <f ca="1">IFERROR(__xludf.DUMMYFUNCTION("""COMPUTED_VALUE"""),4)</f>
        <v>4</v>
      </c>
      <c r="C62" s="6" t="str">
        <f ca="1">IFERROR(__xludf.DUMMYFUNCTION("""COMPUTED_VALUE"""),"Baha Mar Resort")</f>
        <v>Baha Mar Resort</v>
      </c>
      <c r="D62" s="6" t="str">
        <f ca="1">IFERROR(__xludf.DUMMYFUNCTION("""COMPUTED_VALUE"""),"CHEXIM")</f>
        <v>CHEXIM</v>
      </c>
      <c r="E62" s="6" t="str">
        <f ca="1">IFERROR(__xludf.DUMMYFUNCTION("""COMPUTED_VALUE"""),"EXIM")</f>
        <v>EXIM</v>
      </c>
      <c r="F62" s="6" t="str">
        <f ca="1">IFERROR(__xludf.DUMMYFUNCTION("""COMPUTED_VALUE"""),"Chow Tai Fook Enterprises, China Construction America")</f>
        <v>Chow Tai Fook Enterprises, China Construction America</v>
      </c>
      <c r="G62" s="6">
        <f ca="1">IFERROR(__xludf.DUMMYFUNCTION("""COMPUTED_VALUE"""),7)</f>
        <v>7</v>
      </c>
      <c r="H62" s="6" t="str">
        <f ca="1">IFERROR(__xludf.DUMMYFUNCTION("""COMPUTED_VALUE"""),"Tourism")</f>
        <v>Tourism</v>
      </c>
      <c r="I62" s="6" t="str">
        <f ca="1">IFERROR(__xludf.DUMMYFUNCTION("""COMPUTED_VALUE"""),"Loan")</f>
        <v>Loan</v>
      </c>
      <c r="J62" s="6" t="str">
        <f ca="1">IFERROR(__xludf.DUMMYFUNCTION("""COMPUTED_VALUE"""),"$3,550,000,000 USD")</f>
        <v>$3,550,000,000 USD</v>
      </c>
      <c r="K62" s="6" t="str">
        <f ca="1">IFERROR(__xludf.DUMMYFUNCTION("""COMPUTED_VALUE"""),"BHS")</f>
        <v>BHS</v>
      </c>
      <c r="L62" s="6" t="str">
        <f ca="1">IFERROR(__xludf.DUMMYFUNCTION("""COMPUTED_VALUE"""),"Bahamas")</f>
        <v>Bahamas</v>
      </c>
      <c r="M62" s="6" t="str">
        <f ca="1">IFERROR(__xludf.DUMMYFUNCTION("""COMPUTED_VALUE"""),"Nassau, Bahamas")</f>
        <v>Nassau, Bahamas</v>
      </c>
      <c r="N62" s="6" t="str">
        <f ca="1">IFERROR(__xludf.DUMMYFUNCTION("""COMPUTED_VALUE"""),"Enter China, with its Export-Import Bank giving a $2.5 billion loan, state-owned China State Construction Engineering, as primary contractor through its China Construction America subsidiary, kicking in $150 million and Izmirlian providing $850 million. T"&amp;"he loan agreement included provisions that CCA could import Chinese construction workers, despite the Bahamas’ double-digit unemployment, and that Baha Mar could not fire the contractor, which had never built a resort on Baha Mar’s scale. China Harbor Eng"&amp;"ineering Company, another state-owned company, lent $50 million to maintain the resort in receivership. In December of 2016, the project was halted due to backlash from fishers and from other members of the government and ownership was changed. It was alr"&amp;"eady almost entirely complete by then. This not an official BRI-project because the Bahamas has not yet joined the BRI.")</f>
        <v>Enter China, with its Export-Import Bank giving a $2.5 billion loan, state-owned China State Construction Engineering, as primary contractor through its China Construction America subsidiary, kicking in $150 million and Izmirlian providing $850 million. The loan agreement included provisions that CCA could import Chinese construction workers, despite the Bahamas’ double-digit unemployment, and that Baha Mar could not fire the contractor, which had never built a resort on Baha Mar’s scale. China Harbor Engineering Company, another state-owned company, lent $50 million to maintain the resort in receivership. In December of 2016, the project was halted due to backlash from fishers and from other members of the government and ownership was changed. It was already almost entirely complete by then. This not an official BRI-project because the Bahamas has not yet joined the BRI.</v>
      </c>
      <c r="O62" s="6" t="str">
        <f ca="1">IFERROR(__xludf.DUMMYFUNCTION("""COMPUTED_VALUE"""),"12/00/2014")</f>
        <v>12/00/2014</v>
      </c>
      <c r="P62" s="6" t="str">
        <f ca="1">IFERROR(__xludf.DUMMYFUNCTION("""COMPUTED_VALUE"""),"00/00/2018")</f>
        <v>00/00/2018</v>
      </c>
      <c r="Q62" s="6" t="str">
        <f ca="1">IFERROR(__xludf.DUMMYFUNCTION("""COMPUTED_VALUE"""),"Completed - change in ownership")</f>
        <v>Completed - change in ownership</v>
      </c>
      <c r="R62" s="6" t="str">
        <f ca="1">IFERROR(__xludf.DUMMYFUNCTION("""COMPUTED_VALUE"""),"RSRT")</f>
        <v>RSRT</v>
      </c>
      <c r="S62" s="9" t="str">
        <f ca="1">IFERROR(__xludf.DUMMYFUNCTION("""COMPUTED_VALUE"""),"https://gist.github.com/mayadeutchman/432a46b038f224b24ec8188a13f72964")</f>
        <v>https://gist.github.com/mayadeutchman/432a46b038f224b24ec8188a13f72964</v>
      </c>
      <c r="T62" s="6" t="str">
        <f ca="1">IFERROR(__xludf.DUMMYFUNCTION("""COMPUTED_VALUE"""),"BLOB")</f>
        <v>BLOB</v>
      </c>
      <c r="U62" s="6" t="str">
        <f ca="1">IFERROR(__xludf.DUMMYFUNCTION("""COMPUTED_VALUE"""),"Used satellite imagery and followed google maps. The capital, Nassau, is on New Providence which is technically not an ADM1 of The Bahamas - it's a separate classification. As such, it cannot be included in regional totals.")</f>
        <v>Used satellite imagery and followed google maps. The capital, Nassau, is on New Providence which is technically not an ADM1 of The Bahamas - it's a separate classification. As such, it cannot be included in regional totals.</v>
      </c>
      <c r="V62" s="6" t="str">
        <f ca="1">IFERROR(__xludf.DUMMYFUNCTION("""COMPUTED_VALUE"""),"Yes (Geocoded)")</f>
        <v>Yes (Geocoded)</v>
      </c>
      <c r="W62" s="6" t="str">
        <f ca="1">IFERROR(__xludf.DUMMYFUNCTION("""COMPUTED_VALUE"""),"NA")</f>
        <v>NA</v>
      </c>
      <c r="X62" s="13">
        <f ca="1">IFERROR(__xludf.DUMMYFUNCTION("""COMPUTED_VALUE"""),43731)</f>
        <v>43731</v>
      </c>
      <c r="Y62" s="6" t="str">
        <f ca="1">IFERROR(__xludf.DUMMYFUNCTION("""COMPUTED_VALUE"""),"Construction of the resort is complete.")</f>
        <v>Construction of the resort is complete.</v>
      </c>
      <c r="Z62" s="6" t="str">
        <f ca="1">IFERROR(__xludf.DUMMYFUNCTION("""COMPUTED_VALUE"""),"LAT: 25.0696 LON -77.3962")</f>
        <v>LAT: 25.0696 LON -77.3962</v>
      </c>
      <c r="AA62" s="6"/>
      <c r="AB62" s="6"/>
      <c r="AC62" s="6"/>
      <c r="AD62" s="6"/>
      <c r="AE62" s="6"/>
      <c r="AF62" s="6"/>
      <c r="AG62" s="6"/>
    </row>
    <row r="63" spans="1:33" ht="52.8" x14ac:dyDescent="0.25">
      <c r="A63" s="6">
        <f ca="1">IFERROR(__xludf.DUMMYFUNCTION("""COMPUTED_VALUE"""),63)</f>
        <v>63</v>
      </c>
      <c r="B63" s="6">
        <f ca="1">IFERROR(__xludf.DUMMYFUNCTION("""COMPUTED_VALUE"""),3)</f>
        <v>3</v>
      </c>
      <c r="C63" s="6" t="str">
        <f ca="1">IFERROR(__xludf.DUMMYFUNCTION("""COMPUTED_VALUE"""),"Proposed China-Bahamas Agriculture and Fisheries Initiative")</f>
        <v>Proposed China-Bahamas Agriculture and Fisheries Initiative</v>
      </c>
      <c r="D63" s="6" t="str">
        <f ca="1">IFERROR(__xludf.DUMMYFUNCTION("""COMPUTED_VALUE"""),"Other Chinese Institution")</f>
        <v>Other Chinese Institution</v>
      </c>
      <c r="E63" s="6" t="str">
        <f ca="1">IFERROR(__xludf.DUMMYFUNCTION("""COMPUTED_VALUE"""),"PRC")</f>
        <v>PRC</v>
      </c>
      <c r="F63" s="6" t="str">
        <f ca="1">IFERROR(__xludf.DUMMYFUNCTION("""COMPUTED_VALUE"""),"N/A")</f>
        <v>N/A</v>
      </c>
      <c r="G63" s="6">
        <f ca="1">IFERROR(__xludf.DUMMYFUNCTION("""COMPUTED_VALUE"""),7)</f>
        <v>7</v>
      </c>
      <c r="H63" s="6" t="str">
        <f ca="1">IFERROR(__xludf.DUMMYFUNCTION("""COMPUTED_VALUE"""),"Natural Resources")</f>
        <v>Natural Resources</v>
      </c>
      <c r="I63" s="6" t="str">
        <f ca="1">IFERROR(__xludf.DUMMYFUNCTION("""COMPUTED_VALUE"""),"Joint Venture, Investment")</f>
        <v>Joint Venture, Investment</v>
      </c>
      <c r="J63" s="6" t="str">
        <f ca="1">IFERROR(__xludf.DUMMYFUNCTION("""COMPUTED_VALUE"""),"$2,100,000,000 USD")</f>
        <v>$2,100,000,000 USD</v>
      </c>
      <c r="K63" s="6" t="str">
        <f ca="1">IFERROR(__xludf.DUMMYFUNCTION("""COMPUTED_VALUE"""),"BHS")</f>
        <v>BHS</v>
      </c>
      <c r="L63" s="6" t="str">
        <f ca="1">IFERROR(__xludf.DUMMYFUNCTION("""COMPUTED_VALUE"""),"Bahamas")</f>
        <v>Bahamas</v>
      </c>
      <c r="M63" s="6" t="str">
        <f ca="1">IFERROR(__xludf.DUMMYFUNCTION("""COMPUTED_VALUE"""),"Crown land in Adros, Bahamas")</f>
        <v>Crown land in Adros, Bahamas</v>
      </c>
      <c r="N63" s="6" t="str">
        <f ca="1">IFERROR(__xludf.DUMMYFUNCTION("""COMPUTED_VALUE"""),"Under the proposal, China, or its substantive representative(s), will partner with Bahamian corporate entities to form up to 100 corporate structures that will be engaged primarily in the agriculture and fisheries industry in The Bahamas. China will provi"&amp;"de funding equivalent to $2.1 billion over a ten-year period, in the form of cash, agriculture and fisheries equipment, as well as skilled expertise. This not an official BRI-project because the Bahamas has not yet joined the BRI.")</f>
        <v>Under the proposal, China, or its substantive representative(s), will partner with Bahamian corporate entities to form up to 100 corporate structures that will be engaged primarily in the agriculture and fisheries industry in The Bahamas. China will provide funding equivalent to $2.1 billion over a ten-year period, in the form of cash, agriculture and fisheries equipment, as well as skilled expertise. This not an official BRI-project because the Bahamas has not yet joined the BRI.</v>
      </c>
      <c r="O63" s="6" t="str">
        <f ca="1">IFERROR(__xludf.DUMMYFUNCTION("""COMPUTED_VALUE"""),"10/00/2016")</f>
        <v>10/00/2016</v>
      </c>
      <c r="P63" s="6" t="str">
        <f ca="1">IFERROR(__xludf.DUMMYFUNCTION("""COMPUTED_VALUE"""),"N/A")</f>
        <v>N/A</v>
      </c>
      <c r="Q63" s="6" t="str">
        <f ca="1">IFERROR(__xludf.DUMMYFUNCTION("""COMPUTED_VALUE"""),"Cancelled")</f>
        <v>Cancelled</v>
      </c>
      <c r="R63" s="6" t="str">
        <f ca="1">IFERROR(__xludf.DUMMYFUNCTION("""COMPUTED_VALUE"""),"PCLI")</f>
        <v>PCLI</v>
      </c>
      <c r="S63" s="6" t="str">
        <f ca="1">IFERROR(__xludf.DUMMYFUNCTION("""COMPUTED_VALUE"""),"BHS_ADM0_2_0_1_0")</f>
        <v>BHS_ADM0_2_0_1_0</v>
      </c>
      <c r="T63" s="6" t="str">
        <f ca="1">IFERROR(__xludf.DUMMYFUNCTION("""COMPUTED_VALUE"""),"PCLI")</f>
        <v>PCLI</v>
      </c>
      <c r="U63" s="6" t="str">
        <f ca="1">IFERROR(__xludf.DUMMYFUNCTION("""COMPUTED_VALUE"""),"Geocoded up to the country")</f>
        <v>Geocoded up to the country</v>
      </c>
      <c r="V63" s="6" t="str">
        <f ca="1">IFERROR(__xludf.DUMMYFUNCTION("""COMPUTED_VALUE"""),"No")</f>
        <v>No</v>
      </c>
      <c r="W63" s="6" t="str">
        <f ca="1">IFERROR(__xludf.DUMMYFUNCTION("""COMPUTED_VALUE"""),"NA")</f>
        <v>NA</v>
      </c>
      <c r="X63" s="6" t="str">
        <f ca="1">IFERROR(__xludf.DUMMYFUNCTION("""COMPUTED_VALUE"""),"N/A")</f>
        <v>N/A</v>
      </c>
      <c r="Y63" s="6" t="str">
        <f ca="1">IFERROR(__xludf.DUMMYFUNCTION("""COMPUTED_VALUE"""),"N/A")</f>
        <v>N/A</v>
      </c>
      <c r="Z63" s="6" t="str">
        <f ca="1">IFERROR(__xludf.DUMMYFUNCTION("""COMPUTED_VALUE"""),"N/A")</f>
        <v>N/A</v>
      </c>
      <c r="AA63" s="6"/>
      <c r="AB63" s="6"/>
      <c r="AC63" s="6"/>
      <c r="AD63" s="6"/>
      <c r="AE63" s="6"/>
      <c r="AF63" s="6"/>
      <c r="AG63" s="6"/>
    </row>
    <row r="64" spans="1:33" ht="105.6" x14ac:dyDescent="0.25">
      <c r="A64" s="6">
        <f ca="1">IFERROR(__xludf.DUMMYFUNCTION("""COMPUTED_VALUE"""),64)</f>
        <v>64</v>
      </c>
      <c r="B64" s="6">
        <f ca="1">IFERROR(__xludf.DUMMYFUNCTION("""COMPUTED_VALUE"""),4)</f>
        <v>4</v>
      </c>
      <c r="C64" s="6" t="str">
        <f ca="1">IFERROR(__xludf.DUMMYFUNCTION("""COMPUTED_VALUE"""),"The Pointe Urban Development Project")</f>
        <v>The Pointe Urban Development Project</v>
      </c>
      <c r="D64" s="6" t="str">
        <f ca="1">IFERROR(__xludf.DUMMYFUNCTION("""COMPUTED_VALUE"""),"Other Chinese Institution")</f>
        <v>Other Chinese Institution</v>
      </c>
      <c r="E64" s="6" t="str">
        <f ca="1">IFERROR(__xludf.DUMMYFUNCTION("""COMPUTED_VALUE"""),"China Construction America")</f>
        <v>China Construction America</v>
      </c>
      <c r="F64" s="6" t="str">
        <f ca="1">IFERROR(__xludf.DUMMYFUNCTION("""COMPUTED_VALUE"""),"China Construction America")</f>
        <v>China Construction America</v>
      </c>
      <c r="G64" s="6">
        <f ca="1">IFERROR(__xludf.DUMMYFUNCTION("""COMPUTED_VALUE"""),7)</f>
        <v>7</v>
      </c>
      <c r="H64" s="6" t="str">
        <f ca="1">IFERROR(__xludf.DUMMYFUNCTION("""COMPUTED_VALUE"""),"Tourism")</f>
        <v>Tourism</v>
      </c>
      <c r="I64" s="6" t="str">
        <f ca="1">IFERROR(__xludf.DUMMYFUNCTION("""COMPUTED_VALUE"""),"Investment")</f>
        <v>Investment</v>
      </c>
      <c r="J64" s="6" t="str">
        <f ca="1">IFERROR(__xludf.DUMMYFUNCTION("""COMPUTED_VALUE"""),"$250,000,000 USD")</f>
        <v>$250,000,000 USD</v>
      </c>
      <c r="K64" s="6" t="str">
        <f ca="1">IFERROR(__xludf.DUMMYFUNCTION("""COMPUTED_VALUE"""),"BHS")</f>
        <v>BHS</v>
      </c>
      <c r="L64" s="6" t="str">
        <f ca="1">IFERROR(__xludf.DUMMYFUNCTION("""COMPUTED_VALUE"""),"Bahamas")</f>
        <v>Bahamas</v>
      </c>
      <c r="M64" s="6" t="str">
        <f ca="1">IFERROR(__xludf.DUMMYFUNCTION("""COMPUTED_VALUE"""),"Nassau, Bahamas")</f>
        <v>Nassau, Bahamas</v>
      </c>
      <c r="N64" s="6" t="str">
        <f ca="1">IFERROR(__xludf.DUMMYFUNCTION("""COMPUTED_VALUE"""),"This project is a two phase urban development in downtown Nassau, it has two phases which include the creation of a hotel, parking, office space, entertainment areas, and the second half is Phase II of the 7 million-square-foot development is currently un"&amp;"der construction. Upon completion, the project will have a 100-room, eight-story condominium with oceanfront residences, a 150-room branded resort and spa with a business center, a 45-slip marina with Blue Flag eco certification and a yacht club, eight re"&amp;"staurants and bars including a rooftop restaurant and over-the-water bar and restaurant, a total of 24,000 square feet of retail space including upscale shopping venues, as well as entertainment facilities. The first phase was completed in 2016 and the se"&amp;"cond phase completed in 2019. It is an expansion of the British Colonial Hilton, which was bought by the Chinese Construction Engineering Corporation. This not an official BRI-project because the Bahamas has not yet joined the BRI.")</f>
        <v>This project is a two phase urban development in downtown Nassau, it has two phases which include the creation of a hotel, parking, office space, entertainment areas, and the second half is Phase II of the 7 million-square-foot development is currently under construction. Upon completion, the project will have a 100-room, eight-story condominium with oceanfront residences, a 150-room branded resort and spa with a business center, a 45-slip marina with Blue Flag eco certification and a yacht club, eight restaurants and bars including a rooftop restaurant and over-the-water bar and restaurant, a total of 24,000 square feet of retail space including upscale shopping venues, as well as entertainment facilities. The first phase was completed in 2016 and the second phase completed in 2019. It is an expansion of the British Colonial Hilton, which was bought by the Chinese Construction Engineering Corporation. This not an official BRI-project because the Bahamas has not yet joined the BRI.</v>
      </c>
      <c r="O64" s="6" t="str">
        <f ca="1">IFERROR(__xludf.DUMMYFUNCTION("""COMPUTED_VALUE"""),"10/00/2016")</f>
        <v>10/00/2016</v>
      </c>
      <c r="P64" s="6" t="str">
        <f ca="1">IFERROR(__xludf.DUMMYFUNCTION("""COMPUTED_VALUE"""),"00/00/2019")</f>
        <v>00/00/2019</v>
      </c>
      <c r="Q64" s="6" t="str">
        <f ca="1">IFERROR(__xludf.DUMMYFUNCTION("""COMPUTED_VALUE"""),"Completed")</f>
        <v>Completed</v>
      </c>
      <c r="R64" s="6" t="str">
        <f ca="1">IFERROR(__xludf.DUMMYFUNCTION("""COMPUTED_VALUE"""),"AREA")</f>
        <v>AREA</v>
      </c>
      <c r="S64" s="9" t="str">
        <f ca="1">IFERROR(__xludf.DUMMYFUNCTION("""COMPUTED_VALUE"""),"https://gist.github.com/Remy2020/a2e77cd57b185e5e250870aa86bcced9")</f>
        <v>https://gist.github.com/Remy2020/a2e77cd57b185e5e250870aa86bcced9</v>
      </c>
      <c r="T64" s="6" t="str">
        <f ca="1">IFERROR(__xludf.DUMMYFUNCTION("""COMPUTED_VALUE"""),"BLOB")</f>
        <v>BLOB</v>
      </c>
      <c r="U64" s="6" t="str">
        <f ca="1">IFERROR(__xludf.DUMMYFUNCTION("""COMPUTED_VALUE"""),"Used satellite imagery and followed google maps. The capital, Nassau, is on New Providence which is technically not an ADM1 of The Bahamas - it's a separate classification. As such, it cannot be included in regional totals.")</f>
        <v>Used satellite imagery and followed google maps. The capital, Nassau, is on New Providence which is technically not an ADM1 of The Bahamas - it's a separate classification. As such, it cannot be included in regional totals.</v>
      </c>
      <c r="V64" s="6" t="str">
        <f ca="1">IFERROR(__xludf.DUMMYFUNCTION("""COMPUTED_VALUE"""),"Yes (Geocoded)")</f>
        <v>Yes (Geocoded)</v>
      </c>
      <c r="W64" s="6" t="str">
        <f ca="1">IFERROR(__xludf.DUMMYFUNCTION("""COMPUTED_VALUE"""),"NA")</f>
        <v>NA</v>
      </c>
      <c r="X64" s="6" t="str">
        <f ca="1">IFERROR(__xludf.DUMMYFUNCTION("""COMPUTED_VALUE"""),"01/17/2017 | 04/18/2018 | 01/31/2019 | 11/04/2019 | 05/04/2020")</f>
        <v>01/17/2017 | 04/18/2018 | 01/31/2019 | 11/04/2019 | 05/04/2020</v>
      </c>
      <c r="Y64" s="6" t="str">
        <f ca="1">IFERROR(__xludf.DUMMYFUNCTION("""COMPUTED_VALUE"""),"The construction is supposedly completed. However, recent imagery reveals that of the two buildings, only the eastern building is complete from the outside; the outside area of the western building is still a construction site without pools or flora.")</f>
        <v>The construction is supposedly completed. However, recent imagery reveals that of the two buildings, only the eastern building is complete from the outside; the outside area of the western building is still a construction site without pools or flora.</v>
      </c>
      <c r="Z64" s="6" t="str">
        <f ca="1">IFERROR(__xludf.DUMMYFUNCTION("""COMPUTED_VALUE"""),"LAT: 25.0790 LON -77.3473")</f>
        <v>LAT: 25.0790 LON -77.3473</v>
      </c>
      <c r="AA64" s="6"/>
      <c r="AB64" s="6"/>
      <c r="AC64" s="6"/>
      <c r="AD64" s="6"/>
      <c r="AE64" s="6"/>
      <c r="AF64" s="6"/>
      <c r="AG64" s="6"/>
    </row>
    <row r="65" spans="1:33" ht="79.2" x14ac:dyDescent="0.25">
      <c r="A65" s="6">
        <f ca="1">IFERROR(__xludf.DUMMYFUNCTION("""COMPUTED_VALUE"""),65)</f>
        <v>65</v>
      </c>
      <c r="B65" s="6">
        <f ca="1">IFERROR(__xludf.DUMMYFUNCTION("""COMPUTED_VALUE"""),3)</f>
        <v>3</v>
      </c>
      <c r="C65" s="6" t="str">
        <f ca="1">IFERROR(__xludf.DUMMYFUNCTION("""COMPUTED_VALUE"""),"Thomas A Robinson National Stadium")</f>
        <v>Thomas A Robinson National Stadium</v>
      </c>
      <c r="D65" s="6" t="str">
        <f ca="1">IFERROR(__xludf.DUMMYFUNCTION("""COMPUTED_VALUE"""),"Other Chinese Institution")</f>
        <v>Other Chinese Institution</v>
      </c>
      <c r="E65" s="6" t="str">
        <f ca="1">IFERROR(__xludf.DUMMYFUNCTION("""COMPUTED_VALUE"""),"PRC")</f>
        <v>PRC</v>
      </c>
      <c r="F65" s="6" t="str">
        <f ca="1">IFERROR(__xludf.DUMMYFUNCTION("""COMPUTED_VALUE"""),"Shandong Hi Company")</f>
        <v>Shandong Hi Company</v>
      </c>
      <c r="G65" s="6">
        <f ca="1">IFERROR(__xludf.DUMMYFUNCTION("""COMPUTED_VALUE"""),7)</f>
        <v>7</v>
      </c>
      <c r="H65" s="6" t="str">
        <f ca="1">IFERROR(__xludf.DUMMYFUNCTION("""COMPUTED_VALUE"""),"Tourism")</f>
        <v>Tourism</v>
      </c>
      <c r="I65" s="6" t="str">
        <f ca="1">IFERROR(__xludf.DUMMYFUNCTION("""COMPUTED_VALUE"""),"Donation")</f>
        <v>Donation</v>
      </c>
      <c r="J65" s="6" t="str">
        <f ca="1">IFERROR(__xludf.DUMMYFUNCTION("""COMPUTED_VALUE"""),"$30,000,000 USD")</f>
        <v>$30,000,000 USD</v>
      </c>
      <c r="K65" s="6" t="str">
        <f ca="1">IFERROR(__xludf.DUMMYFUNCTION("""COMPUTED_VALUE"""),"BHS")</f>
        <v>BHS</v>
      </c>
      <c r="L65" s="6" t="str">
        <f ca="1">IFERROR(__xludf.DUMMYFUNCTION("""COMPUTED_VALUE"""),"Bahamas")</f>
        <v>Bahamas</v>
      </c>
      <c r="M65" s="6" t="str">
        <f ca="1">IFERROR(__xludf.DUMMYFUNCTION("""COMPUTED_VALUE"""),"New Providence, Bahamas")</f>
        <v>New Providence, Bahamas</v>
      </c>
      <c r="N65" s="6" t="str">
        <f ca="1">IFERROR(__xludf.DUMMYFUNCTION("""COMPUTED_VALUE"""),"This project was a gift to the Bahamian people as a result of ""good bilateral relations"" on behalf of the Chinese Govt. The Chinese broke ground on the stadium on July 10th of 2006, but the initial contract was switched from the Qilu Construction Group "&amp;"to the Shandong Hi Company. In 2007, the documents were cleared on and in 2009, construction began. In June of 2011, construction was complete, with Chinese nationals remaining in the Bahamas for up to train new employees on how to run the stadium. This n"&amp;"ot an official BRI-project because the Bahamas has not yet joined the BRI.")</f>
        <v>This project was a gift to the Bahamian people as a result of "good bilateral relations" on behalf of the Chinese Govt. The Chinese broke ground on the stadium on July 10th of 2006, but the initial contract was switched from the Qilu Construction Group to the Shandong Hi Company. In 2007, the documents were cleared on and in 2009, construction began. In June of 2011, construction was complete, with Chinese nationals remaining in the Bahamas for up to train new employees on how to run the stadium. This not an official BRI-project because the Bahamas has not yet joined the BRI.</v>
      </c>
      <c r="O65" s="12">
        <f ca="1">IFERROR(__xludf.DUMMYFUNCTION("""COMPUTED_VALUE"""),38908)</f>
        <v>38908</v>
      </c>
      <c r="P65" s="12">
        <f ca="1">IFERROR(__xludf.DUMMYFUNCTION("""COMPUTED_VALUE"""),40716)</f>
        <v>40716</v>
      </c>
      <c r="Q65" s="6" t="str">
        <f ca="1">IFERROR(__xludf.DUMMYFUNCTION("""COMPUTED_VALUE"""),"Completed")</f>
        <v>Completed</v>
      </c>
      <c r="R65" s="6" t="str">
        <f ca="1">IFERROR(__xludf.DUMMYFUNCTION("""COMPUTED_VALUE"""),"STDM")</f>
        <v>STDM</v>
      </c>
      <c r="S65" s="9" t="str">
        <f ca="1">IFERROR(__xludf.DUMMYFUNCTION("""COMPUTED_VALUE"""),"https://gist.github.com/Remy2020/c743e2fd157f10ea278cd957ea485784")</f>
        <v>https://gist.github.com/Remy2020/c743e2fd157f10ea278cd957ea485784</v>
      </c>
      <c r="T65" s="6" t="str">
        <f ca="1">IFERROR(__xludf.DUMMYFUNCTION("""COMPUTED_VALUE"""),"BLOB")</f>
        <v>BLOB</v>
      </c>
      <c r="U65" s="6" t="str">
        <f ca="1">IFERROR(__xludf.DUMMYFUNCTION("""COMPUTED_VALUE"""),"Used satellite imagery and followed google maps. The capital, Nassau, is on New Providence which is technically not an ADM1 of The Bahamas - it's a separate classification. As such, it cannot be included in regional totals.")</f>
        <v>Used satellite imagery and followed google maps. The capital, Nassau, is on New Providence which is technically not an ADM1 of The Bahamas - it's a separate classification. As such, it cannot be included in regional totals.</v>
      </c>
      <c r="V65" s="6" t="str">
        <f ca="1">IFERROR(__xludf.DUMMYFUNCTION("""COMPUTED_VALUE"""),"Yes (Geocoded)")</f>
        <v>Yes (Geocoded)</v>
      </c>
      <c r="W65" s="6" t="str">
        <f ca="1">IFERROR(__xludf.DUMMYFUNCTION("""COMPUTED_VALUE"""),"NA")</f>
        <v>NA</v>
      </c>
      <c r="X65" s="12">
        <f ca="1">IFERROR(__xludf.DUMMYFUNCTION("""COMPUTED_VALUE"""),42752)</f>
        <v>42752</v>
      </c>
      <c r="Y65" s="6" t="str">
        <f ca="1">IFERROR(__xludf.DUMMYFUNCTION("""COMPUTED_VALUE"""),"The stadium is complete.")</f>
        <v>The stadium is complete.</v>
      </c>
      <c r="Z65" s="6" t="str">
        <f ca="1">IFERROR(__xludf.DUMMYFUNCTION("""COMPUTED_VALUE"""),"LAT: 25.0543 LON -77.3602")</f>
        <v>LAT: 25.0543 LON -77.3602</v>
      </c>
      <c r="AA65" s="6"/>
      <c r="AB65" s="6"/>
      <c r="AC65" s="6"/>
      <c r="AD65" s="6"/>
      <c r="AE65" s="6"/>
      <c r="AF65" s="6"/>
      <c r="AG65" s="6"/>
    </row>
    <row r="66" spans="1:33" ht="79.2" x14ac:dyDescent="0.25">
      <c r="A66" s="6">
        <f ca="1">IFERROR(__xludf.DUMMYFUNCTION("""COMPUTED_VALUE"""),66)</f>
        <v>66</v>
      </c>
      <c r="B66" s="6">
        <f ca="1">IFERROR(__xludf.DUMMYFUNCTION("""COMPUTED_VALUE"""),4)</f>
        <v>4</v>
      </c>
      <c r="C66" s="6" t="str">
        <f ca="1">IFERROR(__xludf.DUMMYFUNCTION("""COMPUTED_VALUE"""),"North Abaco Wharf Project")</f>
        <v>North Abaco Wharf Project</v>
      </c>
      <c r="D66" s="6" t="str">
        <f ca="1">IFERROR(__xludf.DUMMYFUNCTION("""COMPUTED_VALUE"""),"CHEXIM")</f>
        <v>CHEXIM</v>
      </c>
      <c r="E66" s="6" t="str">
        <f ca="1">IFERROR(__xludf.DUMMYFUNCTION("""COMPUTED_VALUE"""),"CHEXIM, Govt. of Bahamas")</f>
        <v>CHEXIM, Govt. of Bahamas</v>
      </c>
      <c r="F66" s="6" t="str">
        <f ca="1">IFERROR(__xludf.DUMMYFUNCTION("""COMPUTED_VALUE"""),"Chinese Harbour Engineering Company")</f>
        <v>Chinese Harbour Engineering Company</v>
      </c>
      <c r="G66" s="6">
        <f ca="1">IFERROR(__xludf.DUMMYFUNCTION("""COMPUTED_VALUE"""),7)</f>
        <v>7</v>
      </c>
      <c r="H66" s="6" t="str">
        <f ca="1">IFERROR(__xludf.DUMMYFUNCTION("""COMPUTED_VALUE"""),"Port")</f>
        <v>Port</v>
      </c>
      <c r="I66" s="6" t="str">
        <f ca="1">IFERROR(__xludf.DUMMYFUNCTION("""COMPUTED_VALUE"""),"Investment")</f>
        <v>Investment</v>
      </c>
      <c r="J66" s="6" t="str">
        <f ca="1">IFERROR(__xludf.DUMMYFUNCTION("""COMPUTED_VALUE"""),"$39,000,000 USD")</f>
        <v>$39,000,000 USD</v>
      </c>
      <c r="K66" s="6" t="str">
        <f ca="1">IFERROR(__xludf.DUMMYFUNCTION("""COMPUTED_VALUE"""),"BHS")</f>
        <v>BHS</v>
      </c>
      <c r="L66" s="6" t="str">
        <f ca="1">IFERROR(__xludf.DUMMYFUNCTION("""COMPUTED_VALUE"""),"Bahamas")</f>
        <v>Bahamas</v>
      </c>
      <c r="M66" s="6" t="str">
        <f ca="1">IFERROR(__xludf.DUMMYFUNCTION("""COMPUTED_VALUE"""),"North Abaco Island, Bahamas")</f>
        <v>North Abaco Island, Bahamas</v>
      </c>
      <c r="N66" s="6" t="str">
        <f ca="1">IFERROR(__xludf.DUMMYFUNCTION("""COMPUTED_VALUE"""),"This project was funded by the Government of the Bahamas as a way to relieve pressure on the existing Marsh Harbour port on North Abaco Island. It was one of the first projects built by the Chinese Harbour Engineering Company in the Bahamas. However, many"&amp;" other media sources have noted the similarity of this port to other ports that have the capacity to house Chinese submarines and military vessels, as well as that the port has sat unused for much of 2019. This not an official BRI-project because the Baha"&amp;"mas has not yet joined the BRI.")</f>
        <v>This project was funded by the Government of the Bahamas as a way to relieve pressure on the existing Marsh Harbour port on North Abaco Island. It was one of the first projects built by the Chinese Harbour Engineering Company in the Bahamas. However, many other media sources have noted the similarity of this port to other ports that have the capacity to house Chinese submarines and military vessels, as well as that the port has sat unused for much of 2019. This not an official BRI-project because the Bahamas has not yet joined the BRI.</v>
      </c>
      <c r="O66" s="6" t="str">
        <f ca="1">IFERROR(__xludf.DUMMYFUNCTION("""COMPUTED_VALUE"""),"05/00/2014")</f>
        <v>05/00/2014</v>
      </c>
      <c r="P66" s="6" t="str">
        <f ca="1">IFERROR(__xludf.DUMMYFUNCTION("""COMPUTED_VALUE"""),"00/00/2016")</f>
        <v>00/00/2016</v>
      </c>
      <c r="Q66" s="6" t="str">
        <f ca="1">IFERROR(__xludf.DUMMYFUNCTION("""COMPUTED_VALUE"""),"Completed")</f>
        <v>Completed</v>
      </c>
      <c r="R66" s="6" t="str">
        <f ca="1">IFERROR(__xludf.DUMMYFUNCTION("""COMPUTED_VALUE"""),"PRT")</f>
        <v>PRT</v>
      </c>
      <c r="S66" s="9" t="str">
        <f ca="1">IFERROR(__xludf.DUMMYFUNCTION("""COMPUTED_VALUE"""),"https://gist.github.com/mayadeutchman/c97b4daff93725561a7ddc0983ee7b3c")</f>
        <v>https://gist.github.com/mayadeutchman/c97b4daff93725561a7ddc0983ee7b3c</v>
      </c>
      <c r="T66" s="6" t="str">
        <f ca="1">IFERROR(__xludf.DUMMYFUNCTION("""COMPUTED_VALUE"""),"BLOB")</f>
        <v>BLOB</v>
      </c>
      <c r="U66" s="6" t="str">
        <f ca="1">IFERROR(__xludf.DUMMYFUNCTION("""COMPUTED_VALUE"""),"Used satellite imagery and followed google maps")</f>
        <v>Used satellite imagery and followed google maps</v>
      </c>
      <c r="V66" s="6" t="str">
        <f ca="1">IFERROR(__xludf.DUMMYFUNCTION("""COMPUTED_VALUE"""),"Yes (Both)")</f>
        <v>Yes (Both)</v>
      </c>
      <c r="W66" s="6" t="str">
        <f ca="1">IFERROR(__xludf.DUMMYFUNCTION("""COMPUTED_VALUE"""),"North Abaco")</f>
        <v>North Abaco</v>
      </c>
      <c r="X66" s="6" t="str">
        <f ca="1">IFERROR(__xludf.DUMMYFUNCTION("""COMPUTED_VALUE"""),"05/19/2013 | 10/01/2014 | 11/10/2015 | 02/24/2016 | 01/08/2017 | 09/04/2019")</f>
        <v>05/19/2013 | 10/01/2014 | 11/10/2015 | 02/24/2016 | 01/08/2017 | 09/04/2019</v>
      </c>
      <c r="Y66" s="6" t="str">
        <f ca="1">IFERROR(__xludf.DUMMYFUNCTION("""COMPUTED_VALUE"""),"The port was supposedly completed sometime in 2016, but satellite imagery reveals it was not opened to the sea until 2017 at the earliest. It is now complete, but still not in use.")</f>
        <v>The port was supposedly completed sometime in 2016, but satellite imagery reveals it was not opened to the sea until 2017 at the earliest. It is now complete, but still not in use.</v>
      </c>
      <c r="Z66" s="6" t="str">
        <f ca="1">IFERROR(__xludf.DUMMYFUNCTION("""COMPUTED_VALUE"""),"LAT: 26.8910 LON -77.5332")</f>
        <v>LAT: 26.8910 LON -77.5332</v>
      </c>
      <c r="AA66" s="6"/>
      <c r="AB66" s="6"/>
      <c r="AC66" s="6"/>
      <c r="AD66" s="6"/>
      <c r="AE66" s="6"/>
      <c r="AF66" s="6"/>
      <c r="AG66" s="6"/>
    </row>
    <row r="67" spans="1:33" ht="26.4" x14ac:dyDescent="0.25">
      <c r="A67" s="6">
        <f ca="1">IFERROR(__xludf.DUMMYFUNCTION("""COMPUTED_VALUE"""),67)</f>
        <v>67</v>
      </c>
      <c r="B67" s="6">
        <f ca="1">IFERROR(__xludf.DUMMYFUNCTION("""COMPUTED_VALUE"""),2)</f>
        <v>2</v>
      </c>
      <c r="C67" s="6" t="str">
        <f ca="1">IFERROR(__xludf.DUMMYFUNCTION("""COMPUTED_VALUE"""),"Military and Defense Donation")</f>
        <v>Military and Defense Donation</v>
      </c>
      <c r="D67" s="6" t="str">
        <f ca="1">IFERROR(__xludf.DUMMYFUNCTION("""COMPUTED_VALUE"""),"Other Chinese Institution ")</f>
        <v xml:space="preserve">Other Chinese Institution </v>
      </c>
      <c r="E67" s="6" t="str">
        <f ca="1">IFERROR(__xludf.DUMMYFUNCTION("""COMPUTED_VALUE"""),"PRC")</f>
        <v>PRC</v>
      </c>
      <c r="F67" s="6" t="str">
        <f ca="1">IFERROR(__xludf.DUMMYFUNCTION("""COMPUTED_VALUE"""),"N/A")</f>
        <v>N/A</v>
      </c>
      <c r="G67" s="6">
        <f ca="1">IFERROR(__xludf.DUMMYFUNCTION("""COMPUTED_VALUE"""),8)</f>
        <v>8</v>
      </c>
      <c r="H67" s="6" t="str">
        <f ca="1">IFERROR(__xludf.DUMMYFUNCTION("""COMPUTED_VALUE"""),"Security")</f>
        <v>Security</v>
      </c>
      <c r="I67" s="6" t="str">
        <f ca="1">IFERROR(__xludf.DUMMYFUNCTION("""COMPUTED_VALUE"""),"Donation")</f>
        <v>Donation</v>
      </c>
      <c r="J67" s="6" t="str">
        <f ca="1">IFERROR(__xludf.DUMMYFUNCTION("""COMPUTED_VALUE"""),"$1,200,000 USD")</f>
        <v>$1,200,000 USD</v>
      </c>
      <c r="K67" s="6" t="str">
        <f ca="1">IFERROR(__xludf.DUMMYFUNCTION("""COMPUTED_VALUE"""),"BHS")</f>
        <v>BHS</v>
      </c>
      <c r="L67" s="6" t="str">
        <f ca="1">IFERROR(__xludf.DUMMYFUNCTION("""COMPUTED_VALUE"""),"Bahamas")</f>
        <v>Bahamas</v>
      </c>
      <c r="M67" s="6" t="str">
        <f ca="1">IFERROR(__xludf.DUMMYFUNCTION("""COMPUTED_VALUE"""),"N/A")</f>
        <v>N/A</v>
      </c>
      <c r="N67" s="6" t="str">
        <f ca="1">IFERROR(__xludf.DUMMYFUNCTION("""COMPUTED_VALUE"""),"The PRC donated $1.2 million in order for the Royal Bahamas Defence Force to purchase military equipment, including armoured vehicles, anti-riot gear, and grenade launchers, etc. This not an official BRI-project because the Bahamas has not yet joined the "&amp;"BRI.")</f>
        <v>The PRC donated $1.2 million in order for the Royal Bahamas Defence Force to purchase military equipment, including armoured vehicles, anti-riot gear, and grenade launchers, etc. This not an official BRI-project because the Bahamas has not yet joined the BRI.</v>
      </c>
      <c r="O67" s="12">
        <f ca="1">IFERROR(__xludf.DUMMYFUNCTION("""COMPUTED_VALUE"""),42397)</f>
        <v>42397</v>
      </c>
      <c r="P67" s="6" t="str">
        <f ca="1">IFERROR(__xludf.DUMMYFUNCTION("""COMPUTED_VALUE"""),"N/A")</f>
        <v>N/A</v>
      </c>
      <c r="Q67" s="6" t="str">
        <f ca="1">IFERROR(__xludf.DUMMYFUNCTION("""COMPUTED_VALUE"""),"Completed")</f>
        <v>Completed</v>
      </c>
      <c r="R67" s="6" t="str">
        <f ca="1">IFERROR(__xludf.DUMMYFUNCTION("""COMPUTED_VALUE"""),"UNM")</f>
        <v>UNM</v>
      </c>
      <c r="S67" s="6" t="str">
        <f ca="1">IFERROR(__xludf.DUMMYFUNCTION("""COMPUTED_VALUE"""),"N/A")</f>
        <v>N/A</v>
      </c>
      <c r="T67" s="6" t="str">
        <f ca="1">IFERROR(__xludf.DUMMYFUNCTION("""COMPUTED_VALUE"""),"UNM")</f>
        <v>UNM</v>
      </c>
      <c r="U67" s="6" t="str">
        <f ca="1">IFERROR(__xludf.DUMMYFUNCTION("""COMPUTED_VALUE"""),"Unmappable")</f>
        <v>Unmappable</v>
      </c>
      <c r="V67" s="6" t="str">
        <f ca="1">IFERROR(__xludf.DUMMYFUNCTION("""COMPUTED_VALUE"""),"No")</f>
        <v>No</v>
      </c>
      <c r="W67" s="6" t="str">
        <f ca="1">IFERROR(__xludf.DUMMYFUNCTION("""COMPUTED_VALUE"""),"NA")</f>
        <v>NA</v>
      </c>
      <c r="X67" s="6" t="str">
        <f ca="1">IFERROR(__xludf.DUMMYFUNCTION("""COMPUTED_VALUE"""),"N/A")</f>
        <v>N/A</v>
      </c>
      <c r="Y67" s="6" t="str">
        <f ca="1">IFERROR(__xludf.DUMMYFUNCTION("""COMPUTED_VALUE"""),"N/A")</f>
        <v>N/A</v>
      </c>
      <c r="Z67" s="6" t="str">
        <f ca="1">IFERROR(__xludf.DUMMYFUNCTION("""COMPUTED_VALUE"""),"N/A")</f>
        <v>N/A</v>
      </c>
      <c r="AA67" s="6"/>
      <c r="AB67" s="6"/>
      <c r="AC67" s="6"/>
      <c r="AD67" s="6"/>
      <c r="AE67" s="6"/>
      <c r="AF67" s="6"/>
      <c r="AG67" s="6"/>
    </row>
    <row r="68" spans="1:33" ht="52.8" x14ac:dyDescent="0.25">
      <c r="A68" s="6">
        <f ca="1">IFERROR(__xludf.DUMMYFUNCTION("""COMPUTED_VALUE"""),68)</f>
        <v>68</v>
      </c>
      <c r="B68" s="6">
        <f ca="1">IFERROR(__xludf.DUMMYFUNCTION("""COMPUTED_VALUE"""),2)</f>
        <v>2</v>
      </c>
      <c r="C68" s="6" t="str">
        <f ca="1">IFERROR(__xludf.DUMMYFUNCTION("""COMPUTED_VALUE"""),"Hurricane Dorian Relief Donation ")</f>
        <v xml:space="preserve">Hurricane Dorian Relief Donation </v>
      </c>
      <c r="D68" s="6" t="str">
        <f ca="1">IFERROR(__xludf.DUMMYFUNCTION("""COMPUTED_VALUE"""),"Other Chinese Institution ")</f>
        <v xml:space="preserve">Other Chinese Institution </v>
      </c>
      <c r="E68" s="6" t="str">
        <f ca="1">IFERROR(__xludf.DUMMYFUNCTION("""COMPUTED_VALUE"""),"PRC")</f>
        <v>PRC</v>
      </c>
      <c r="F68" s="6" t="str">
        <f ca="1">IFERROR(__xludf.DUMMYFUNCTION("""COMPUTED_VALUE"""),"National Emergency Management Agency of the Bahamas (NEMA)")</f>
        <v>National Emergency Management Agency of the Bahamas (NEMA)</v>
      </c>
      <c r="G68" s="6">
        <f ca="1">IFERROR(__xludf.DUMMYFUNCTION("""COMPUTED_VALUE"""),8)</f>
        <v>8</v>
      </c>
      <c r="H68" s="6" t="str">
        <f ca="1">IFERROR(__xludf.DUMMYFUNCTION("""COMPUTED_VALUE"""),"Humanitarian Aid")</f>
        <v>Humanitarian Aid</v>
      </c>
      <c r="I68" s="6" t="str">
        <f ca="1">IFERROR(__xludf.DUMMYFUNCTION("""COMPUTED_VALUE"""),"Donation")</f>
        <v>Donation</v>
      </c>
      <c r="J68" s="6" t="str">
        <f ca="1">IFERROR(__xludf.DUMMYFUNCTION("""COMPUTED_VALUE"""),"$500,000 USD")</f>
        <v>$500,000 USD</v>
      </c>
      <c r="K68" s="6" t="str">
        <f ca="1">IFERROR(__xludf.DUMMYFUNCTION("""COMPUTED_VALUE"""),"BHS")</f>
        <v>BHS</v>
      </c>
      <c r="L68" s="6" t="str">
        <f ca="1">IFERROR(__xludf.DUMMYFUNCTION("""COMPUTED_VALUE"""),"Bahamas")</f>
        <v>Bahamas</v>
      </c>
      <c r="M68" s="6" t="str">
        <f ca="1">IFERROR(__xludf.DUMMYFUNCTION("""COMPUTED_VALUE"""),"N/A")</f>
        <v>N/A</v>
      </c>
      <c r="N68" s="6" t="str">
        <f ca="1">IFERROR(__xludf.DUMMYFUNCTION("""COMPUTED_VALUE"""),"This donation was made on October 9th of 2019, following Hurricane Dorian making landfall in the Bahamas. The Chinese ambassador to the Bahamas and the Director of the Bahaman National Emergency Management Agency signed a Handover Certificate on Provision"&amp;" of Emergency Humanitarian Assistance. this donation was made following 2 other donations by Chinese organizations to the Bahamas. This not an official BRI-project because the Bahamas has not yet joined the BRI.")</f>
        <v>This donation was made on October 9th of 2019, following Hurricane Dorian making landfall in the Bahamas. The Chinese ambassador to the Bahamas and the Director of the Bahaman National Emergency Management Agency signed a Handover Certificate on Provision of Emergency Humanitarian Assistance. this donation was made following 2 other donations by Chinese organizations to the Bahamas. This not an official BRI-project because the Bahamas has not yet joined the BRI.</v>
      </c>
      <c r="O68" s="12">
        <f ca="1">IFERROR(__xludf.DUMMYFUNCTION("""COMPUTED_VALUE"""),43747)</f>
        <v>43747</v>
      </c>
      <c r="P68" s="6" t="str">
        <f ca="1">IFERROR(__xludf.DUMMYFUNCTION("""COMPUTED_VALUE"""),"N/A")</f>
        <v>N/A</v>
      </c>
      <c r="Q68" s="6" t="str">
        <f ca="1">IFERROR(__xludf.DUMMYFUNCTION("""COMPUTED_VALUE"""),"Completed")</f>
        <v>Completed</v>
      </c>
      <c r="R68" s="6" t="str">
        <f ca="1">IFERROR(__xludf.DUMMYFUNCTION("""COMPUTED_VALUE"""),"UNM")</f>
        <v>UNM</v>
      </c>
      <c r="S68" s="6" t="str">
        <f ca="1">IFERROR(__xludf.DUMMYFUNCTION("""COMPUTED_VALUE"""),"N/A")</f>
        <v>N/A</v>
      </c>
      <c r="T68" s="6" t="str">
        <f ca="1">IFERROR(__xludf.DUMMYFUNCTION("""COMPUTED_VALUE"""),"UNM")</f>
        <v>UNM</v>
      </c>
      <c r="U68" s="6" t="str">
        <f ca="1">IFERROR(__xludf.DUMMYFUNCTION("""COMPUTED_VALUE"""),"Unmappable")</f>
        <v>Unmappable</v>
      </c>
      <c r="V68" s="6" t="str">
        <f ca="1">IFERROR(__xludf.DUMMYFUNCTION("""COMPUTED_VALUE"""),"No")</f>
        <v>No</v>
      </c>
      <c r="W68" s="6" t="str">
        <f ca="1">IFERROR(__xludf.DUMMYFUNCTION("""COMPUTED_VALUE"""),"NA")</f>
        <v>NA</v>
      </c>
      <c r="X68" s="6" t="str">
        <f ca="1">IFERROR(__xludf.DUMMYFUNCTION("""COMPUTED_VALUE"""),"N/A")</f>
        <v>N/A</v>
      </c>
      <c r="Y68" s="6" t="str">
        <f ca="1">IFERROR(__xludf.DUMMYFUNCTION("""COMPUTED_VALUE"""),"N/A")</f>
        <v>N/A</v>
      </c>
      <c r="Z68" s="6" t="str">
        <f ca="1">IFERROR(__xludf.DUMMYFUNCTION("""COMPUTED_VALUE"""),"N/A")</f>
        <v>N/A</v>
      </c>
      <c r="AA68" s="6"/>
      <c r="AB68" s="6"/>
      <c r="AC68" s="6"/>
      <c r="AD68" s="6"/>
      <c r="AE68" s="6"/>
      <c r="AF68" s="6"/>
      <c r="AG68" s="6"/>
    </row>
    <row r="69" spans="1:33" ht="26.4" x14ac:dyDescent="0.25">
      <c r="A69" s="6">
        <f ca="1">IFERROR(__xludf.DUMMYFUNCTION("""COMPUTED_VALUE"""),69)</f>
        <v>69</v>
      </c>
      <c r="B69" s="6">
        <f ca="1">IFERROR(__xludf.DUMMYFUNCTION("""COMPUTED_VALUE"""),2)</f>
        <v>2</v>
      </c>
      <c r="C69" s="6" t="str">
        <f ca="1">IFERROR(__xludf.DUMMYFUNCTION("""COMPUTED_VALUE"""),"Bilateral Agreement")</f>
        <v>Bilateral Agreement</v>
      </c>
      <c r="D69" s="6" t="str">
        <f ca="1">IFERROR(__xludf.DUMMYFUNCTION("""COMPUTED_VALUE"""),"Other Chinese Institution")</f>
        <v>Other Chinese Institution</v>
      </c>
      <c r="E69" s="6" t="str">
        <f ca="1">IFERROR(__xludf.DUMMYFUNCTION("""COMPUTED_VALUE"""),"PRC")</f>
        <v>PRC</v>
      </c>
      <c r="F69" s="6" t="str">
        <f ca="1">IFERROR(__xludf.DUMMYFUNCTION("""COMPUTED_VALUE"""),"N/A")</f>
        <v>N/A</v>
      </c>
      <c r="G69" s="6">
        <f ca="1">IFERROR(__xludf.DUMMYFUNCTION("""COMPUTED_VALUE"""),7)</f>
        <v>7</v>
      </c>
      <c r="H69" s="6" t="str">
        <f ca="1">IFERROR(__xludf.DUMMYFUNCTION("""COMPUTED_VALUE"""),"General")</f>
        <v>General</v>
      </c>
      <c r="I69" s="6" t="str">
        <f ca="1">IFERROR(__xludf.DUMMYFUNCTION("""COMPUTED_VALUE"""),"Grant")</f>
        <v>Grant</v>
      </c>
      <c r="J69" s="6" t="str">
        <f ca="1">IFERROR(__xludf.DUMMYFUNCTION("""COMPUTED_VALUE"""),"$24,000,000 USD")</f>
        <v>$24,000,000 USD</v>
      </c>
      <c r="K69" s="6" t="str">
        <f ca="1">IFERROR(__xludf.DUMMYFUNCTION("""COMPUTED_VALUE"""),"BHS")</f>
        <v>BHS</v>
      </c>
      <c r="L69" s="6" t="str">
        <f ca="1">IFERROR(__xludf.DUMMYFUNCTION("""COMPUTED_VALUE"""),"Bahamas")</f>
        <v>Bahamas</v>
      </c>
      <c r="M69" s="6" t="str">
        <f ca="1">IFERROR(__xludf.DUMMYFUNCTION("""COMPUTED_VALUE"""),"N/A")</f>
        <v>N/A</v>
      </c>
      <c r="N69" s="6" t="str">
        <f ca="1">IFERROR(__xludf.DUMMYFUNCTION("""COMPUTED_VALUE"""),"The PRC has donated an additional $12 million USD in grants, totalling $24 million USD in grants for development and technical projects in the Bahamas. This not an official BRI-project because the Bahamas has not yet joined the BRI.")</f>
        <v>The PRC has donated an additional $12 million USD in grants, totalling $24 million USD in grants for development and technical projects in the Bahamas. This not an official BRI-project because the Bahamas has not yet joined the BRI.</v>
      </c>
      <c r="O69" s="12">
        <f ca="1">IFERROR(__xludf.DUMMYFUNCTION("""COMPUTED_VALUE"""),43517)</f>
        <v>43517</v>
      </c>
      <c r="P69" s="6" t="str">
        <f ca="1">IFERROR(__xludf.DUMMYFUNCTION("""COMPUTED_VALUE"""),"N/A")</f>
        <v>N/A</v>
      </c>
      <c r="Q69" s="6" t="str">
        <f ca="1">IFERROR(__xludf.DUMMYFUNCTION("""COMPUTED_VALUE"""),"Completed")</f>
        <v>Completed</v>
      </c>
      <c r="R69" s="6" t="str">
        <f ca="1">IFERROR(__xludf.DUMMYFUNCTION("""COMPUTED_VALUE"""),"UNM")</f>
        <v>UNM</v>
      </c>
      <c r="S69" s="6" t="str">
        <f ca="1">IFERROR(__xludf.DUMMYFUNCTION("""COMPUTED_VALUE"""),"N/A")</f>
        <v>N/A</v>
      </c>
      <c r="T69" s="6" t="str">
        <f ca="1">IFERROR(__xludf.DUMMYFUNCTION("""COMPUTED_VALUE"""),"UNM")</f>
        <v>UNM</v>
      </c>
      <c r="U69" s="6" t="str">
        <f ca="1">IFERROR(__xludf.DUMMYFUNCTION("""COMPUTED_VALUE"""),"Unmappable")</f>
        <v>Unmappable</v>
      </c>
      <c r="V69" s="6" t="str">
        <f ca="1">IFERROR(__xludf.DUMMYFUNCTION("""COMPUTED_VALUE"""),"No")</f>
        <v>No</v>
      </c>
      <c r="W69" s="6" t="str">
        <f ca="1">IFERROR(__xludf.DUMMYFUNCTION("""COMPUTED_VALUE"""),"NA")</f>
        <v>NA</v>
      </c>
      <c r="X69" s="6" t="str">
        <f ca="1">IFERROR(__xludf.DUMMYFUNCTION("""COMPUTED_VALUE"""),"N/A")</f>
        <v>N/A</v>
      </c>
      <c r="Y69" s="6" t="str">
        <f ca="1">IFERROR(__xludf.DUMMYFUNCTION("""COMPUTED_VALUE"""),"N/A")</f>
        <v>N/A</v>
      </c>
      <c r="Z69" s="6" t="str">
        <f ca="1">IFERROR(__xludf.DUMMYFUNCTION("""COMPUTED_VALUE"""),"N/A")</f>
        <v>N/A</v>
      </c>
      <c r="AA69" s="6"/>
      <c r="AB69" s="6"/>
      <c r="AC69" s="6"/>
      <c r="AD69" s="6"/>
      <c r="AE69" s="6"/>
      <c r="AF69" s="6"/>
      <c r="AG69" s="6"/>
    </row>
    <row r="70" spans="1:33" ht="39.6" x14ac:dyDescent="0.25">
      <c r="A70" s="6">
        <f ca="1">IFERROR(__xludf.DUMMYFUNCTION("""COMPUTED_VALUE"""),70)</f>
        <v>70</v>
      </c>
      <c r="B70" s="6">
        <f ca="1">IFERROR(__xludf.DUMMYFUNCTION("""COMPUTED_VALUE"""),2)</f>
        <v>2</v>
      </c>
      <c r="C70" s="6" t="str">
        <f ca="1">IFERROR(__xludf.DUMMYFUNCTION("""COMPUTED_VALUE"""),"Hurricane Dorian Relief Donation ")</f>
        <v xml:space="preserve">Hurricane Dorian Relief Donation </v>
      </c>
      <c r="D70" s="6" t="str">
        <f ca="1">IFERROR(__xludf.DUMMYFUNCTION("""COMPUTED_VALUE"""),"Other Chinese Institution")</f>
        <v>Other Chinese Institution</v>
      </c>
      <c r="E70" s="6" t="str">
        <f ca="1">IFERROR(__xludf.DUMMYFUNCTION("""COMPUTED_VALUE"""),"PRC")</f>
        <v>PRC</v>
      </c>
      <c r="F70" s="6" t="str">
        <f ca="1">IFERROR(__xludf.DUMMYFUNCTION("""COMPUTED_VALUE"""),"National Emergency Management Agency of the Bahamas")</f>
        <v>National Emergency Management Agency of the Bahamas</v>
      </c>
      <c r="G70" s="6">
        <f ca="1">IFERROR(__xludf.DUMMYFUNCTION("""COMPUTED_VALUE"""),8)</f>
        <v>8</v>
      </c>
      <c r="H70" s="6" t="str">
        <f ca="1">IFERROR(__xludf.DUMMYFUNCTION("""COMPUTED_VALUE"""),"Humanitarian Aid")</f>
        <v>Humanitarian Aid</v>
      </c>
      <c r="I70" s="6" t="str">
        <f ca="1">IFERROR(__xludf.DUMMYFUNCTION("""COMPUTED_VALUE"""),"Donation")</f>
        <v>Donation</v>
      </c>
      <c r="J70" s="6" t="str">
        <f ca="1">IFERROR(__xludf.DUMMYFUNCTION("""COMPUTED_VALUE"""),"$100,000 USD")</f>
        <v>$100,000 USD</v>
      </c>
      <c r="K70" s="6" t="str">
        <f ca="1">IFERROR(__xludf.DUMMYFUNCTION("""COMPUTED_VALUE"""),"BHS")</f>
        <v>BHS</v>
      </c>
      <c r="L70" s="6" t="str">
        <f ca="1">IFERROR(__xludf.DUMMYFUNCTION("""COMPUTED_VALUE"""),"Bahamas")</f>
        <v>Bahamas</v>
      </c>
      <c r="M70" s="6" t="str">
        <f ca="1">IFERROR(__xludf.DUMMYFUNCTION("""COMPUTED_VALUE"""),"N/A")</f>
        <v>N/A</v>
      </c>
      <c r="N70" s="6" t="str">
        <f ca="1">IFERROR(__xludf.DUMMYFUNCTION("""COMPUTED_VALUE"""),"This donation was made to NEMA on September 9, 2019 as a result of the call for aid relief due to Hurricane Dorian. It is the second donation from PRC to the Bahamas for Hurricane relief. It was presented by the Chinese Ambassador to the Bahamas. This not"&amp;" an official BRI-project because the Bahamas has not yet joined the BRI.")</f>
        <v>This donation was made to NEMA on September 9, 2019 as a result of the call for aid relief due to Hurricane Dorian. It is the second donation from PRC to the Bahamas for Hurricane relief. It was presented by the Chinese Ambassador to the Bahamas. This not an official BRI-project because the Bahamas has not yet joined the BRI.</v>
      </c>
      <c r="O70" s="12">
        <f ca="1">IFERROR(__xludf.DUMMYFUNCTION("""COMPUTED_VALUE"""),43717)</f>
        <v>43717</v>
      </c>
      <c r="P70" s="6" t="str">
        <f ca="1">IFERROR(__xludf.DUMMYFUNCTION("""COMPUTED_VALUE"""),"N/A")</f>
        <v>N/A</v>
      </c>
      <c r="Q70" s="6" t="str">
        <f ca="1">IFERROR(__xludf.DUMMYFUNCTION("""COMPUTED_VALUE"""),"Completed")</f>
        <v>Completed</v>
      </c>
      <c r="R70" s="6" t="str">
        <f ca="1">IFERROR(__xludf.DUMMYFUNCTION("""COMPUTED_VALUE"""),"UNM")</f>
        <v>UNM</v>
      </c>
      <c r="S70" s="6" t="str">
        <f ca="1">IFERROR(__xludf.DUMMYFUNCTION("""COMPUTED_VALUE"""),"N/A")</f>
        <v>N/A</v>
      </c>
      <c r="T70" s="6" t="str">
        <f ca="1">IFERROR(__xludf.DUMMYFUNCTION("""COMPUTED_VALUE"""),"UNM")</f>
        <v>UNM</v>
      </c>
      <c r="U70" s="6" t="str">
        <f ca="1">IFERROR(__xludf.DUMMYFUNCTION("""COMPUTED_VALUE"""),"Unmappable")</f>
        <v>Unmappable</v>
      </c>
      <c r="V70" s="6" t="str">
        <f ca="1">IFERROR(__xludf.DUMMYFUNCTION("""COMPUTED_VALUE"""),"No")</f>
        <v>No</v>
      </c>
      <c r="W70" s="6" t="str">
        <f ca="1">IFERROR(__xludf.DUMMYFUNCTION("""COMPUTED_VALUE"""),"NA")</f>
        <v>NA</v>
      </c>
      <c r="X70" s="6" t="str">
        <f ca="1">IFERROR(__xludf.DUMMYFUNCTION("""COMPUTED_VALUE"""),"N/A")</f>
        <v>N/A</v>
      </c>
      <c r="Y70" s="6" t="str">
        <f ca="1">IFERROR(__xludf.DUMMYFUNCTION("""COMPUTED_VALUE"""),"N/A")</f>
        <v>N/A</v>
      </c>
      <c r="Z70" s="6" t="str">
        <f ca="1">IFERROR(__xludf.DUMMYFUNCTION("""COMPUTED_VALUE"""),"N/A")</f>
        <v>N/A</v>
      </c>
      <c r="AA70" s="6"/>
      <c r="AB70" s="6"/>
      <c r="AC70" s="6"/>
      <c r="AD70" s="6"/>
      <c r="AE70" s="6"/>
      <c r="AF70" s="6"/>
      <c r="AG70" s="6"/>
    </row>
    <row r="71" spans="1:33" ht="66" x14ac:dyDescent="0.25">
      <c r="A71" s="6">
        <f ca="1">IFERROR(__xludf.DUMMYFUNCTION("""COMPUTED_VALUE"""),71)</f>
        <v>71</v>
      </c>
      <c r="B71" s="6">
        <f ca="1">IFERROR(__xludf.DUMMYFUNCTION("""COMPUTED_VALUE"""),3)</f>
        <v>3</v>
      </c>
      <c r="C71" s="6" t="str">
        <f ca="1">IFERROR(__xludf.DUMMYFUNCTION("""COMPUTED_VALUE"""),"Bahamas Domestic Submarine Network International (BDSNi) Upgrade")</f>
        <v>Bahamas Domestic Submarine Network International (BDSNi) Upgrade</v>
      </c>
      <c r="D71" s="6" t="str">
        <f ca="1">IFERROR(__xludf.DUMMYFUNCTION("""COMPUTED_VALUE"""),"Other  Institution")</f>
        <v>Other  Institution</v>
      </c>
      <c r="E71" s="6" t="str">
        <f ca="1">IFERROR(__xludf.DUMMYFUNCTION("""COMPUTED_VALUE"""),"Bahamas Telecommunication Company")</f>
        <v>Bahamas Telecommunication Company</v>
      </c>
      <c r="F71" s="6" t="str">
        <f ca="1">IFERROR(__xludf.DUMMYFUNCTION("""COMPUTED_VALUE"""),"Huawei Marine Networks Co., Ltd")</f>
        <v>Huawei Marine Networks Co., Ltd</v>
      </c>
      <c r="G71" s="6">
        <f ca="1">IFERROR(__xludf.DUMMYFUNCTION("""COMPUTED_VALUE"""),7)</f>
        <v>7</v>
      </c>
      <c r="H71" s="6" t="str">
        <f ca="1">IFERROR(__xludf.DUMMYFUNCTION("""COMPUTED_VALUE"""),"Telecommunications")</f>
        <v>Telecommunications</v>
      </c>
      <c r="I71" s="6" t="str">
        <f ca="1">IFERROR(__xludf.DUMMYFUNCTION("""COMPUTED_VALUE"""),"Contract")</f>
        <v>Contract</v>
      </c>
      <c r="J71" s="6" t="str">
        <f ca="1">IFERROR(__xludf.DUMMYFUNCTION("""COMPUTED_VALUE"""),"$40,000,000 USD")</f>
        <v>$40,000,000 USD</v>
      </c>
      <c r="K71" s="6" t="str">
        <f ca="1">IFERROR(__xludf.DUMMYFUNCTION("""COMPUTED_VALUE"""),"BHS")</f>
        <v>BHS</v>
      </c>
      <c r="L71" s="6" t="str">
        <f ca="1">IFERROR(__xludf.DUMMYFUNCTION("""COMPUTED_VALUE"""),"Bahamas")</f>
        <v>Bahamas</v>
      </c>
      <c r="M71" s="6" t="str">
        <f ca="1">IFERROR(__xludf.DUMMYFUNCTION("""COMPUTED_VALUE"""),"N/A")</f>
        <v>N/A</v>
      </c>
      <c r="N71" s="6" t="str">
        <f ca="1">IFERROR(__xludf.DUMMYFUNCTION("""COMPUTED_VALUE"""),"The BDSNi system links more than 20 sites between Bahamas and Haiti, and stretches across about 3,500 kilometers. It has played an important role in ensuring a robust telecommunications network to meet the expanding requirements of e-Commerce, e-Education"&amp;", e-Trade, and e-Government on these islands while allowing more flexibe and cost effective services with the upgrade. Huawei Marine Networks was selected to provide the upgrade by the Bahamas Telecommunication Company. This not an official BRI-project be"&amp;"cause the Bahamas has not yet joined the BRI.")</f>
        <v>The BDSNi system links more than 20 sites between Bahamas and Haiti, and stretches across about 3,500 kilometers. It has played an important role in ensuring a robust telecommunications network to meet the expanding requirements of e-Commerce, e-Education, e-Trade, and e-Government on these islands while allowing more flexibe and cost effective services with the upgrade. Huawei Marine Networks was selected to provide the upgrade by the Bahamas Telecommunication Company. This not an official BRI-project because the Bahamas has not yet joined the BRI.</v>
      </c>
      <c r="O71" s="6" t="str">
        <f ca="1">IFERROR(__xludf.DUMMYFUNCTION("""COMPUTED_VALUE"""),"09/00/2013")</f>
        <v>09/00/2013</v>
      </c>
      <c r="P71" s="6" t="str">
        <f ca="1">IFERROR(__xludf.DUMMYFUNCTION("""COMPUTED_VALUE"""),"N/A")</f>
        <v>N/A</v>
      </c>
      <c r="Q71" s="6" t="str">
        <f ca="1">IFERROR(__xludf.DUMMYFUNCTION("""COMPUTED_VALUE"""),"Completed")</f>
        <v>Completed</v>
      </c>
      <c r="R71" s="6" t="str">
        <f ca="1">IFERROR(__xludf.DUMMYFUNCTION("""COMPUTED_VALUE"""),"OOR")</f>
        <v>OOR</v>
      </c>
      <c r="S71" s="6" t="str">
        <f ca="1">IFERROR(__xludf.DUMMYFUNCTION("""COMPUTED_VALUE"""),"N/A")</f>
        <v>N/A</v>
      </c>
      <c r="T71" s="6" t="str">
        <f ca="1">IFERROR(__xludf.DUMMYFUNCTION("""COMPUTED_VALUE"""),"OOR")</f>
        <v>OOR</v>
      </c>
      <c r="U71" s="6" t="str">
        <f ca="1">IFERROR(__xludf.DUMMYFUNCTION("""COMPUTED_VALUE"""),"Outside of range")</f>
        <v>Outside of range</v>
      </c>
      <c r="V71" s="6" t="str">
        <f ca="1">IFERROR(__xludf.DUMMYFUNCTION("""COMPUTED_VALUE"""),"No")</f>
        <v>No</v>
      </c>
      <c r="W71" s="6" t="str">
        <f ca="1">IFERROR(__xludf.DUMMYFUNCTION("""COMPUTED_VALUE"""),"NA")</f>
        <v>NA</v>
      </c>
      <c r="X71" s="6" t="str">
        <f ca="1">IFERROR(__xludf.DUMMYFUNCTION("""COMPUTED_VALUE"""),"N/A")</f>
        <v>N/A</v>
      </c>
      <c r="Y71" s="6" t="str">
        <f ca="1">IFERROR(__xludf.DUMMYFUNCTION("""COMPUTED_VALUE"""),"N/A")</f>
        <v>N/A</v>
      </c>
      <c r="Z71" s="6" t="str">
        <f ca="1">IFERROR(__xludf.DUMMYFUNCTION("""COMPUTED_VALUE"""),"N/A")</f>
        <v>N/A</v>
      </c>
      <c r="AA71" s="6"/>
      <c r="AB71" s="6"/>
      <c r="AC71" s="6"/>
      <c r="AD71" s="6"/>
      <c r="AE71" s="6"/>
      <c r="AF71" s="6"/>
      <c r="AG71" s="6"/>
    </row>
    <row r="72" spans="1:33" ht="52.8" x14ac:dyDescent="0.25">
      <c r="A72" s="6">
        <f ca="1">IFERROR(__xludf.DUMMYFUNCTION("""COMPUTED_VALUE"""),72)</f>
        <v>72</v>
      </c>
      <c r="B72" s="6">
        <f ca="1">IFERROR(__xludf.DUMMYFUNCTION("""COMPUTED_VALUE"""),4)</f>
        <v>4</v>
      </c>
      <c r="C72" s="6" t="str">
        <f ca="1">IFERROR(__xludf.DUMMYFUNCTION("""COMPUTED_VALUE"""),"4G LTE Upgrade")</f>
        <v>4G LTE Upgrade</v>
      </c>
      <c r="D72" s="6" t="str">
        <f ca="1">IFERROR(__xludf.DUMMYFUNCTION("""COMPUTED_VALUE"""),"Other Institution")</f>
        <v>Other Institution</v>
      </c>
      <c r="E72" s="6" t="str">
        <f ca="1">IFERROR(__xludf.DUMMYFUNCTION("""COMPUTED_VALUE"""),"Bahamas Telecommunication Company")</f>
        <v>Bahamas Telecommunication Company</v>
      </c>
      <c r="F72" s="6" t="str">
        <f ca="1">IFERROR(__xludf.DUMMYFUNCTION("""COMPUTED_VALUE"""),"Huawei Communications LTD")</f>
        <v>Huawei Communications LTD</v>
      </c>
      <c r="G72" s="6">
        <f ca="1">IFERROR(__xludf.DUMMYFUNCTION("""COMPUTED_VALUE"""),7)</f>
        <v>7</v>
      </c>
      <c r="H72" s="6" t="str">
        <f ca="1">IFERROR(__xludf.DUMMYFUNCTION("""COMPUTED_VALUE"""),"Telecommunications")</f>
        <v>Telecommunications</v>
      </c>
      <c r="I72" s="6" t="str">
        <f ca="1">IFERROR(__xludf.DUMMYFUNCTION("""COMPUTED_VALUE"""),"Contract")</f>
        <v>Contract</v>
      </c>
      <c r="J72" s="6" t="str">
        <f ca="1">IFERROR(__xludf.DUMMYFUNCTION("""COMPUTED_VALUE"""),"N/A")</f>
        <v>N/A</v>
      </c>
      <c r="K72" s="6" t="str">
        <f ca="1">IFERROR(__xludf.DUMMYFUNCTION("""COMPUTED_VALUE"""),"BHS")</f>
        <v>BHS</v>
      </c>
      <c r="L72" s="6" t="str">
        <f ca="1">IFERROR(__xludf.DUMMYFUNCTION("""COMPUTED_VALUE"""),"Bahamas")</f>
        <v>Bahamas</v>
      </c>
      <c r="M72" s="6" t="str">
        <f ca="1">IFERROR(__xludf.DUMMYFUNCTION("""COMPUTED_VALUE"""),"N/A")</f>
        <v>N/A</v>
      </c>
      <c r="N72" s="6" t="str">
        <f ca="1">IFERROR(__xludf.DUMMYFUNCTION("""COMPUTED_VALUE"""),"In 2011, The Bahamas Telecommunications Company launched a project with Huawei to build the first 4G network in the country, with phase two being completed in 2014 that made 4G LTE data available for most islands in the Bahamas. Huawei was given a 15 year"&amp;" contract, with monetary amounts on the contract still not available. This not an official BRI-project because the Bahamas has not yet joined the BRI.")</f>
        <v>In 2011, The Bahamas Telecommunications Company launched a project with Huawei to build the first 4G network in the country, with phase two being completed in 2014 that made 4G LTE data available for most islands in the Bahamas. Huawei was given a 15 year contract, with monetary amounts on the contract still not available. This not an official BRI-project because the Bahamas has not yet joined the BRI.</v>
      </c>
      <c r="O72" s="6" t="str">
        <f ca="1">IFERROR(__xludf.DUMMYFUNCTION("""COMPUTED_VALUE"""),"00/00/2011")</f>
        <v>00/00/2011</v>
      </c>
      <c r="P72" s="12">
        <f ca="1">IFERROR(__xludf.DUMMYFUNCTION("""COMPUTED_VALUE"""),41687)</f>
        <v>41687</v>
      </c>
      <c r="Q72" s="6" t="str">
        <f ca="1">IFERROR(__xludf.DUMMYFUNCTION("""COMPUTED_VALUE"""),"Completed")</f>
        <v>Completed</v>
      </c>
      <c r="R72" s="6" t="str">
        <f ca="1">IFERROR(__xludf.DUMMYFUNCTION("""COMPUTED_VALUE"""),"UNM")</f>
        <v>UNM</v>
      </c>
      <c r="S72" s="6" t="str">
        <f ca="1">IFERROR(__xludf.DUMMYFUNCTION("""COMPUTED_VALUE"""),"N/A")</f>
        <v>N/A</v>
      </c>
      <c r="T72" s="6" t="str">
        <f ca="1">IFERROR(__xludf.DUMMYFUNCTION("""COMPUTED_VALUE"""),"UNM")</f>
        <v>UNM</v>
      </c>
      <c r="U72" s="6" t="str">
        <f ca="1">IFERROR(__xludf.DUMMYFUNCTION("""COMPUTED_VALUE"""),"Unmappable")</f>
        <v>Unmappable</v>
      </c>
      <c r="V72" s="6" t="str">
        <f ca="1">IFERROR(__xludf.DUMMYFUNCTION("""COMPUTED_VALUE"""),"No")</f>
        <v>No</v>
      </c>
      <c r="W72" s="6" t="str">
        <f ca="1">IFERROR(__xludf.DUMMYFUNCTION("""COMPUTED_VALUE"""),"NA")</f>
        <v>NA</v>
      </c>
      <c r="X72" s="6" t="str">
        <f ca="1">IFERROR(__xludf.DUMMYFUNCTION("""COMPUTED_VALUE"""),"N/A")</f>
        <v>N/A</v>
      </c>
      <c r="Y72" s="6" t="str">
        <f ca="1">IFERROR(__xludf.DUMMYFUNCTION("""COMPUTED_VALUE"""),"N/A")</f>
        <v>N/A</v>
      </c>
      <c r="Z72" s="6" t="str">
        <f ca="1">IFERROR(__xludf.DUMMYFUNCTION("""COMPUTED_VALUE"""),"N/A")</f>
        <v>N/A</v>
      </c>
      <c r="AA72" s="6"/>
      <c r="AB72" s="6"/>
      <c r="AC72" s="6"/>
      <c r="AD72" s="6"/>
      <c r="AE72" s="6"/>
      <c r="AF72" s="6"/>
      <c r="AG72" s="6"/>
    </row>
    <row r="73" spans="1:33" ht="66" x14ac:dyDescent="0.25">
      <c r="A73" s="6">
        <f ca="1">IFERROR(__xludf.DUMMYFUNCTION("""COMPUTED_VALUE"""),73)</f>
        <v>73</v>
      </c>
      <c r="B73" s="6">
        <f ca="1">IFERROR(__xludf.DUMMYFUNCTION("""COMPUTED_VALUE"""),3)</f>
        <v>3</v>
      </c>
      <c r="C73" s="6" t="str">
        <f ca="1">IFERROR(__xludf.DUMMYFUNCTION("""COMPUTED_VALUE"""),"Ciudad Sahagun JAC Plant")</f>
        <v>Ciudad Sahagun JAC Plant</v>
      </c>
      <c r="D73" s="6" t="str">
        <f ca="1">IFERROR(__xludf.DUMMYFUNCTION("""COMPUTED_VALUE"""),"Other Chinese Institution")</f>
        <v>Other Chinese Institution</v>
      </c>
      <c r="E73" s="6" t="str">
        <f ca="1">IFERROR(__xludf.DUMMYFUNCTION("""COMPUTED_VALUE"""),"Jianghai Automobile Company (JAC)")</f>
        <v>Jianghai Automobile Company (JAC)</v>
      </c>
      <c r="F73" s="6" t="str">
        <f ca="1">IFERROR(__xludf.DUMMYFUNCTION("""COMPUTED_VALUE"""),"Mexico Giant Motors")</f>
        <v>Mexico Giant Motors</v>
      </c>
      <c r="G73" s="6">
        <f ca="1">IFERROR(__xludf.DUMMYFUNCTION("""COMPUTED_VALUE"""),7)</f>
        <v>7</v>
      </c>
      <c r="H73" s="6" t="str">
        <f ca="1">IFERROR(__xludf.DUMMYFUNCTION("""COMPUTED_VALUE"""),"Manufacturing / Production")</f>
        <v>Manufacturing / Production</v>
      </c>
      <c r="I73" s="6" t="str">
        <f ca="1">IFERROR(__xludf.DUMMYFUNCTION("""COMPUTED_VALUE"""),"Investment")</f>
        <v>Investment</v>
      </c>
      <c r="J73" s="6" t="str">
        <f ca="1">IFERROR(__xludf.DUMMYFUNCTION("""COMPUTED_VALUE"""),"$236,000,000 USD")</f>
        <v>$236,000,000 USD</v>
      </c>
      <c r="K73" s="6" t="str">
        <f ca="1">IFERROR(__xludf.DUMMYFUNCTION("""COMPUTED_VALUE"""),"MEX")</f>
        <v>MEX</v>
      </c>
      <c r="L73" s="6" t="str">
        <f ca="1">IFERROR(__xludf.DUMMYFUNCTION("""COMPUTED_VALUE"""),"Mexico")</f>
        <v>Mexico</v>
      </c>
      <c r="M73" s="6" t="str">
        <f ca="1">IFERROR(__xludf.DUMMYFUNCTION("""COMPUTED_VALUE"""),"Diesel Nacional 3, Fraccionamiento Industrial Sahagun, 43998 Cd Sahagún, Hgo., Mexico")</f>
        <v>Diesel Nacional 3, Fraccionamiento Industrial Sahagun, 43998 Cd Sahagún, Hgo., Mexico</v>
      </c>
      <c r="N73" s="6" t="str">
        <f ca="1">IFERROR(__xludf.DUMMYFUNCTION("""COMPUTED_VALUE"""),"In 2016, the Chinese-owned company Jianghai Automobile Company (JAC) teamed up with Mexico's Giant Motors to invest in a new production plant in Hidalgo. This investment is part of an expanding partnership to increase automobile production in Mexico. Afte"&amp;"r the plant was constructed in 2016, JAC invested $200 million USD to expand automobile production to approximately 40,000 vehicles per year. Additionally, JAC Motors presented two new SUV's for the Latin American market to produce at the Hidalgo plant. T"&amp;"his not an official BRI-project because Mexico has not yet joined the BRI.")</f>
        <v>In 2016, the Chinese-owned company Jianghai Automobile Company (JAC) teamed up with Mexico's Giant Motors to invest in a new production plant in Hidalgo. This investment is part of an expanding partnership to increase automobile production in Mexico. After the plant was constructed in 2016, JAC invested $200 million USD to expand automobile production to approximately 40,000 vehicles per year. Additionally, JAC Motors presented two new SUV's for the Latin American market to produce at the Hidalgo plant. This not an official BRI-project because Mexico has not yet joined the BRI.</v>
      </c>
      <c r="O73" s="6" t="str">
        <f ca="1">IFERROR(__xludf.DUMMYFUNCTION("""COMPUTED_VALUE"""),"00/00/2016")</f>
        <v>00/00/2016</v>
      </c>
      <c r="P73" s="6" t="str">
        <f ca="1">IFERROR(__xludf.DUMMYFUNCTION("""COMPUTED_VALUE"""),"12/00/2018")</f>
        <v>12/00/2018</v>
      </c>
      <c r="Q73" s="6" t="str">
        <f ca="1">IFERROR(__xludf.DUMMYFUNCTION("""COMPUTED_VALUE"""),"Completed")</f>
        <v>Completed</v>
      </c>
      <c r="R73" s="6" t="str">
        <f ca="1">IFERROR(__xludf.DUMMYFUNCTION("""COMPUTED_VALUE"""),"MFG")</f>
        <v>MFG</v>
      </c>
      <c r="S73" s="9" t="str">
        <f ca="1">IFERROR(__xludf.DUMMYFUNCTION("""COMPUTED_VALUE"""),"https://gist.github.com/mayadeutchman/51a12a16e972158ed6a1c219696331b7")</f>
        <v>https://gist.github.com/mayadeutchman/51a12a16e972158ed6a1c219696331b7</v>
      </c>
      <c r="T73" s="6" t="str">
        <f ca="1">IFERROR(__xludf.DUMMYFUNCTION("""COMPUTED_VALUE"""),"BLOB")</f>
        <v>BLOB</v>
      </c>
      <c r="U73" s="6" t="str">
        <f ca="1">IFERROR(__xludf.DUMMYFUNCTION("""COMPUTED_VALUE"""),"Used satellite imagery and followed google maps")</f>
        <v>Used satellite imagery and followed google maps</v>
      </c>
      <c r="V73" s="6" t="str">
        <f ca="1">IFERROR(__xludf.DUMMYFUNCTION("""COMPUTED_VALUE"""),"Yes (Both)")</f>
        <v>Yes (Both)</v>
      </c>
      <c r="W73" s="6" t="str">
        <f ca="1">IFERROR(__xludf.DUMMYFUNCTION("""COMPUTED_VALUE"""),"Hidalgo")</f>
        <v>Hidalgo</v>
      </c>
      <c r="X73" s="6"/>
      <c r="Y73" s="6"/>
      <c r="Z73" s="6"/>
      <c r="AA73" s="6"/>
      <c r="AB73" s="6"/>
      <c r="AC73" s="6"/>
      <c r="AD73" s="6"/>
      <c r="AE73" s="6"/>
      <c r="AF73" s="6"/>
      <c r="AG73" s="6"/>
    </row>
    <row r="74" spans="1:33" ht="52.8" x14ac:dyDescent="0.25">
      <c r="A74" s="6">
        <f ca="1">IFERROR(__xludf.DUMMYFUNCTION("""COMPUTED_VALUE"""),75)</f>
        <v>75</v>
      </c>
      <c r="B74" s="6">
        <f ca="1">IFERROR(__xludf.DUMMYFUNCTION("""COMPUTED_VALUE"""),3)</f>
        <v>3</v>
      </c>
      <c r="C74" s="6" t="str">
        <f ca="1">IFERROR(__xludf.DUMMYFUNCTION("""COMPUTED_VALUE"""),"Huawei Innovation Technology Park")</f>
        <v>Huawei Innovation Technology Park</v>
      </c>
      <c r="D74" s="6" t="str">
        <f ca="1">IFERROR(__xludf.DUMMYFUNCTION("""COMPUTED_VALUE"""),"Other Chinese Institution")</f>
        <v>Other Chinese Institution</v>
      </c>
      <c r="E74" s="6" t="str">
        <f ca="1">IFERROR(__xludf.DUMMYFUNCTION("""COMPUTED_VALUE"""),"Huawei Technologies Company")</f>
        <v>Huawei Technologies Company</v>
      </c>
      <c r="F74" s="6" t="str">
        <f ca="1">IFERROR(__xludf.DUMMYFUNCTION("""COMPUTED_VALUE"""),"N/A")</f>
        <v>N/A</v>
      </c>
      <c r="G74" s="6">
        <f ca="1">IFERROR(__xludf.DUMMYFUNCTION("""COMPUTED_VALUE"""),7)</f>
        <v>7</v>
      </c>
      <c r="H74" s="6" t="str">
        <f ca="1">IFERROR(__xludf.DUMMYFUNCTION("""COMPUTED_VALUE"""),"Telecommunications")</f>
        <v>Telecommunications</v>
      </c>
      <c r="I74" s="6" t="str">
        <f ca="1">IFERROR(__xludf.DUMMYFUNCTION("""COMPUTED_VALUE"""),"Investment")</f>
        <v>Investment</v>
      </c>
      <c r="J74" s="6" t="str">
        <f ca="1">IFERROR(__xludf.DUMMYFUNCTION("""COMPUTED_VALUE"""),"$1,500,000,000 USD")</f>
        <v>$1,500,000,000 USD</v>
      </c>
      <c r="K74" s="6" t="str">
        <f ca="1">IFERROR(__xludf.DUMMYFUNCTION("""COMPUTED_VALUE"""),"MEX")</f>
        <v>MEX</v>
      </c>
      <c r="L74" s="6" t="str">
        <f ca="1">IFERROR(__xludf.DUMMYFUNCTION("""COMPUTED_VALUE"""),"Mexico")</f>
        <v>Mexico</v>
      </c>
      <c r="M74" s="6" t="str">
        <f ca="1">IFERROR(__xludf.DUMMYFUNCTION("""COMPUTED_VALUE"""),"Innovation Technology Park Carretera 431, El Marques, Santiago de Querétaro, Qro., Mexico ")</f>
        <v xml:space="preserve">Innovation Technology Park Carretera 431, El Marques, Santiago de Querétaro, Qro., Mexico </v>
      </c>
      <c r="N74" s="6" t="str">
        <f ca="1">IFERROR(__xludf.DUMMYFUNCTION("""COMPUTED_VALUE"""),"Huawei Technologies company announced a $1.5 US Billion investment in Mexico. The money will be used over the course of 5 years in 4 centers (Global Technical Care Center, Regional Center for Network Operations, Regional Innovation Center, and the Regiona"&amp;"l Technical Training Center) specializing in telecommunications services Queretaro, Mexico. This not an official BRI-project because Mexico has not yet joined the BRI.")</f>
        <v>Huawei Technologies company announced a $1.5 US Billion investment in Mexico. The money will be used over the course of 5 years in 4 centers (Global Technical Care Center, Regional Center for Network Operations, Regional Innovation Center, and the Regional Technical Training Center) specializing in telecommunications services Queretaro, Mexico. This not an official BRI-project because Mexico has not yet joined the BRI.</v>
      </c>
      <c r="O74" s="8">
        <f ca="1">IFERROR(__xludf.DUMMYFUNCTION("""COMPUTED_VALUE"""),41940)</f>
        <v>41940</v>
      </c>
      <c r="P74" s="6" t="str">
        <f ca="1">IFERROR(__xludf.DUMMYFUNCTION("""COMPUTED_VALUE"""),"00/00/2015")</f>
        <v>00/00/2015</v>
      </c>
      <c r="Q74" s="6" t="str">
        <f ca="1">IFERROR(__xludf.DUMMYFUNCTION("""COMPUTED_VALUE"""),"Completed")</f>
        <v>Completed</v>
      </c>
      <c r="R74" s="6" t="str">
        <f ca="1">IFERROR(__xludf.DUMMYFUNCTION("""COMPUTED_VALUE"""),"UNM")</f>
        <v>UNM</v>
      </c>
      <c r="S74" s="6" t="str">
        <f ca="1">IFERROR(__xludf.DUMMYFUNCTION("""COMPUTED_VALUE"""),"N/A")</f>
        <v>N/A</v>
      </c>
      <c r="T74" s="6" t="str">
        <f ca="1">IFERROR(__xludf.DUMMYFUNCTION("""COMPUTED_VALUE"""),"UNM")</f>
        <v>UNM</v>
      </c>
      <c r="U74" s="6" t="str">
        <f ca="1">IFERROR(__xludf.DUMMYFUNCTION("""COMPUTED_VALUE"""),"Unmappable")</f>
        <v>Unmappable</v>
      </c>
      <c r="V74" s="6" t="str">
        <f ca="1">IFERROR(__xludf.DUMMYFUNCTION("""COMPUTED_VALUE"""),"No")</f>
        <v>No</v>
      </c>
      <c r="W74" s="6" t="str">
        <f ca="1">IFERROR(__xludf.DUMMYFUNCTION("""COMPUTED_VALUE"""),"NA")</f>
        <v>NA</v>
      </c>
      <c r="X74" s="6"/>
      <c r="Y74" s="6"/>
      <c r="Z74" s="6"/>
      <c r="AA74" s="6"/>
      <c r="AB74" s="6"/>
      <c r="AC74" s="6"/>
      <c r="AD74" s="6"/>
      <c r="AE74" s="6"/>
      <c r="AF74" s="6"/>
      <c r="AG74" s="6"/>
    </row>
    <row r="75" spans="1:33" ht="52.8" x14ac:dyDescent="0.25">
      <c r="A75" s="6">
        <f ca="1">IFERROR(__xludf.DUMMYFUNCTION("""COMPUTED_VALUE"""),76)</f>
        <v>76</v>
      </c>
      <c r="B75" s="6">
        <f ca="1">IFERROR(__xludf.DUMMYFUNCTION("""COMPUTED_VALUE"""),3)</f>
        <v>3</v>
      </c>
      <c r="C75" s="6" t="str">
        <f ca="1">IFERROR(__xludf.DUMMYFUNCTION("""COMPUTED_VALUE"""),"Dos Bocas Refinery")</f>
        <v>Dos Bocas Refinery</v>
      </c>
      <c r="D75" s="6" t="str">
        <f ca="1">IFERROR(__xludf.DUMMYFUNCTION("""COMPUTED_VALUE"""),"Other Chinese Institution")</f>
        <v>Other Chinese Institution</v>
      </c>
      <c r="E75" s="6" t="str">
        <f ca="1">IFERROR(__xludf.DUMMYFUNCTION("""COMPUTED_VALUE"""),"IDBC, Bank of China")</f>
        <v>IDBC, Bank of China</v>
      </c>
      <c r="F75" s="6" t="str">
        <f ca="1">IFERROR(__xludf.DUMMYFUNCTION("""COMPUTED_VALUE"""),"Pemex")</f>
        <v>Pemex</v>
      </c>
      <c r="G75" s="6">
        <f ca="1">IFERROR(__xludf.DUMMYFUNCTION("""COMPUTED_VALUE"""),7)</f>
        <v>7</v>
      </c>
      <c r="H75" s="6" t="str">
        <f ca="1">IFERROR(__xludf.DUMMYFUNCTION("""COMPUTED_VALUE"""),"Refinery")</f>
        <v>Refinery</v>
      </c>
      <c r="I75" s="6" t="str">
        <f ca="1">IFERROR(__xludf.DUMMYFUNCTION("""COMPUTED_VALUE"""),"Investment")</f>
        <v>Investment</v>
      </c>
      <c r="J75" s="6" t="str">
        <f ca="1">IFERROR(__xludf.DUMMYFUNCTION("""COMPUTED_VALUE"""),"$600,000,000 USD")</f>
        <v>$600,000,000 USD</v>
      </c>
      <c r="K75" s="6" t="str">
        <f ca="1">IFERROR(__xludf.DUMMYFUNCTION("""COMPUTED_VALUE"""),"MEX")</f>
        <v>MEX</v>
      </c>
      <c r="L75" s="6" t="str">
        <f ca="1">IFERROR(__xludf.DUMMYFUNCTION("""COMPUTED_VALUE"""),"Mexico")</f>
        <v>Mexico</v>
      </c>
      <c r="M75" s="6" t="str">
        <f ca="1">IFERROR(__xludf.DUMMYFUNCTION("""COMPUTED_VALUE"""),"Dos Bocas, State of Tabasco, Mexico")</f>
        <v>Dos Bocas, State of Tabasco, Mexico</v>
      </c>
      <c r="N75" s="6" t="str">
        <f ca="1">IFERROR(__xludf.DUMMYFUNCTION("""COMPUTED_VALUE"""),"The ICBC and Bank of China have provided $600 million USD to the construction of this total $8 billion USD refinery being constructed by Mexico's state-owned petroleum company, Pemex. The refinery project is designed to process 340,000 barrels of crude oi"&amp;"l per day into gasoline and diesel. This not an official BRI-project because Mexico has not yet joined the BRI.")</f>
        <v>The ICBC and Bank of China have provided $600 million USD to the construction of this total $8 billion USD refinery being constructed by Mexico's state-owned petroleum company, Pemex. The refinery project is designed to process 340,000 barrels of crude oil per day into gasoline and diesel. This not an official BRI-project because Mexico has not yet joined the BRI.</v>
      </c>
      <c r="O75" s="12">
        <f ca="1">IFERROR(__xludf.DUMMYFUNCTION("""COMPUTED_VALUE"""),43648)</f>
        <v>43648</v>
      </c>
      <c r="P75" s="6" t="str">
        <f ca="1">IFERROR(__xludf.DUMMYFUNCTION("""COMPUTED_VALUE"""),"N/A")</f>
        <v>N/A</v>
      </c>
      <c r="Q75" s="6" t="str">
        <f ca="1">IFERROR(__xludf.DUMMYFUNCTION("""COMPUTED_VALUE"""),"Under construction - delayed")</f>
        <v>Under construction - delayed</v>
      </c>
      <c r="R75" s="6" t="str">
        <f ca="1">IFERROR(__xludf.DUMMYFUNCTION("""COMPUTED_VALUE"""),"OILR")</f>
        <v>OILR</v>
      </c>
      <c r="S75" s="9" t="str">
        <f ca="1">IFERROR(__xludf.DUMMYFUNCTION("""COMPUTED_VALUE"""),"https://gist.github.com/Remy2020/9ef99b9a5b614563cbc01c56ea5aa03e")</f>
        <v>https://gist.github.com/Remy2020/9ef99b9a5b614563cbc01c56ea5aa03e</v>
      </c>
      <c r="T75" s="6" t="str">
        <f ca="1">IFERROR(__xludf.DUMMYFUNCTION("""COMPUTED_VALUE"""),"BLOB")</f>
        <v>BLOB</v>
      </c>
      <c r="U75" s="6" t="str">
        <f ca="1">IFERROR(__xludf.DUMMYFUNCTION("""COMPUTED_VALUE"""),"Used the graphic from this source: https://www.theyucatantimes.com/2019/07/work-on-dos-bocas-refinery-to-begin-in-3-days/ and followed using google maps")</f>
        <v>Used the graphic from this source: https://www.theyucatantimes.com/2019/07/work-on-dos-bocas-refinery-to-begin-in-3-days/ and followed using google maps</v>
      </c>
      <c r="V75" s="6" t="str">
        <f ca="1">IFERROR(__xludf.DUMMYFUNCTION("""COMPUTED_VALUE"""),"Yes (Both)")</f>
        <v>Yes (Both)</v>
      </c>
      <c r="W75" s="6" t="str">
        <f ca="1">IFERROR(__xludf.DUMMYFUNCTION("""COMPUTED_VALUE"""),"Tabasco")</f>
        <v>Tabasco</v>
      </c>
      <c r="X75" s="6"/>
      <c r="Y75" s="6"/>
      <c r="Z75" s="6"/>
      <c r="AA75" s="6"/>
      <c r="AB75" s="6"/>
      <c r="AC75" s="6"/>
      <c r="AD75" s="6"/>
      <c r="AE75" s="6"/>
      <c r="AF75" s="6"/>
      <c r="AG75" s="6"/>
    </row>
    <row r="76" spans="1:33" ht="92.4" x14ac:dyDescent="0.25">
      <c r="A76" s="6">
        <f ca="1">IFERROR(__xludf.DUMMYFUNCTION("""COMPUTED_VALUE"""),78)</f>
        <v>78</v>
      </c>
      <c r="B76" s="6">
        <f ca="1">IFERROR(__xludf.DUMMYFUNCTION("""COMPUTED_VALUE"""),5)</f>
        <v>5</v>
      </c>
      <c r="C76" s="6" t="str">
        <f ca="1">IFERROR(__xludf.DUMMYFUNCTION("""COMPUTED_VALUE"""),"Mexico City to Queretaro Railway")</f>
        <v>Mexico City to Queretaro Railway</v>
      </c>
      <c r="D76" s="6" t="str">
        <f ca="1">IFERROR(__xludf.DUMMYFUNCTION("""COMPUTED_VALUE"""),"Other Chinese Institution")</f>
        <v>Other Chinese Institution</v>
      </c>
      <c r="E76" s="6" t="str">
        <f ca="1">IFERROR(__xludf.DUMMYFUNCTION("""COMPUTED_VALUE"""),"Chinese-Mexican Consortium, primarily China Railway Construction Corporation (CRCC)")</f>
        <v>Chinese-Mexican Consortium, primarily China Railway Construction Corporation (CRCC)</v>
      </c>
      <c r="F76" s="6" t="str">
        <f ca="1">IFERROR(__xludf.DUMMYFUNCTION("""COMPUTED_VALUE"""),"China Railway Construction Corporation")</f>
        <v>China Railway Construction Corporation</v>
      </c>
      <c r="G76" s="6">
        <f ca="1">IFERROR(__xludf.DUMMYFUNCTION("""COMPUTED_VALUE"""),7)</f>
        <v>7</v>
      </c>
      <c r="H76" s="6" t="str">
        <f ca="1">IFERROR(__xludf.DUMMYFUNCTION("""COMPUTED_VALUE"""),"Rail")</f>
        <v>Rail</v>
      </c>
      <c r="I76" s="6" t="str">
        <f ca="1">IFERROR(__xludf.DUMMYFUNCTION("""COMPUTED_VALUE"""),"Investment")</f>
        <v>Investment</v>
      </c>
      <c r="J76" s="6" t="str">
        <f ca="1">IFERROR(__xludf.DUMMYFUNCTION("""COMPUTED_VALUE"""),"$3,750,000,000 USD")</f>
        <v>$3,750,000,000 USD</v>
      </c>
      <c r="K76" s="6" t="str">
        <f ca="1">IFERROR(__xludf.DUMMYFUNCTION("""COMPUTED_VALUE"""),"MEX")</f>
        <v>MEX</v>
      </c>
      <c r="L76" s="6" t="str">
        <f ca="1">IFERROR(__xludf.DUMMYFUNCTION("""COMPUTED_VALUE"""),"Mexico")</f>
        <v>Mexico</v>
      </c>
      <c r="M76" s="6" t="str">
        <f ca="1">IFERROR(__xludf.DUMMYFUNCTION("""COMPUTED_VALUE"""),"Between Mexico City and Queretaro")</f>
        <v>Between Mexico City and Queretaro</v>
      </c>
      <c r="N76" s="6" t="str">
        <f ca="1">IFERROR(__xludf.DUMMYFUNCTION("""COMPUTED_VALUE"""),"This $3.75 billion USD was funded by a Chinese-Mexican Consortium originally in November 2014. The railway is 210km long with 12km of tunnels, 16km of viaduct, and operational speeds of 300 km/h. The train is expected to run hourly, take 58min to travel f"&amp;"rom Queretaro to Mexico City, and carry 23,000 passengers daily. It is unclear what the financing breakdown between the members of the consortium is. In January 2015, Mexico revoked the $3.75 billion USD deal and CRCC had to rebid for the project, winning"&amp;" the project again.The Railway was indefinitely suspended in 2017 as a result of Mexican government budget cuts and corruption scandals. Note that there are various reports of the dollar amount of this cancelled project, varying between $3.75 and $4.4 bil"&amp;"lion. This not an official BRI-project because Mexico has not yet joined the BRI.")</f>
        <v>This $3.75 billion USD was funded by a Chinese-Mexican Consortium originally in November 2014. The railway is 210km long with 12km of tunnels, 16km of viaduct, and operational speeds of 300 km/h. The train is expected to run hourly, take 58min to travel from Queretaro to Mexico City, and carry 23,000 passengers daily. It is unclear what the financing breakdown between the members of the consortium is. In January 2015, Mexico revoked the $3.75 billion USD deal and CRCC had to rebid for the project, winning the project again.The Railway was indefinitely suspended in 2017 as a result of Mexican government budget cuts and corruption scandals. Note that there are various reports of the dollar amount of this cancelled project, varying between $3.75 and $4.4 billion. This not an official BRI-project because Mexico has not yet joined the BRI.</v>
      </c>
      <c r="O76" s="12">
        <f ca="1">IFERROR(__xludf.DUMMYFUNCTION("""COMPUTED_VALUE"""),41650)</f>
        <v>41650</v>
      </c>
      <c r="P76" s="6" t="str">
        <f ca="1">IFERROR(__xludf.DUMMYFUNCTION("""COMPUTED_VALUE"""),"N/A")</f>
        <v>N/A</v>
      </c>
      <c r="Q76" s="6" t="str">
        <f ca="1">IFERROR(__xludf.DUMMYFUNCTION("""COMPUTED_VALUE"""),"Cancelled")</f>
        <v>Cancelled</v>
      </c>
      <c r="R76" s="6" t="str">
        <f ca="1">IFERROR(__xludf.DUMMYFUNCTION("""COMPUTED_VALUE"""),"PCLI")</f>
        <v>PCLI</v>
      </c>
      <c r="S76" s="6" t="str">
        <f ca="1">IFERROR(__xludf.DUMMYFUNCTION("""COMPUTED_VALUE"""),"MEX_ADM0")</f>
        <v>MEX_ADM0</v>
      </c>
      <c r="T76" s="6" t="str">
        <f ca="1">IFERROR(__xludf.DUMMYFUNCTION("""COMPUTED_VALUE"""),"PCLI")</f>
        <v>PCLI</v>
      </c>
      <c r="U76" s="6" t="str">
        <f ca="1">IFERROR(__xludf.DUMMYFUNCTION("""COMPUTED_VALUE"""),"Coded up to the country because this activity cannot be geocoded due to its cancelled status")</f>
        <v>Coded up to the country because this activity cannot be geocoded due to its cancelled status</v>
      </c>
      <c r="V76" s="6" t="str">
        <f ca="1">IFERROR(__xludf.DUMMYFUNCTION("""COMPUTED_VALUE"""),"No")</f>
        <v>No</v>
      </c>
      <c r="W76" s="6" t="str">
        <f ca="1">IFERROR(__xludf.DUMMYFUNCTION("""COMPUTED_VALUE"""),"NA")</f>
        <v>NA</v>
      </c>
      <c r="X76" s="6"/>
      <c r="Y76" s="6"/>
      <c r="Z76" s="6"/>
      <c r="AA76" s="6"/>
      <c r="AB76" s="6"/>
      <c r="AC76" s="6"/>
      <c r="AD76" s="6"/>
      <c r="AE76" s="6"/>
      <c r="AF76" s="6"/>
      <c r="AG76" s="6"/>
    </row>
    <row r="77" spans="1:33" ht="118.8" x14ac:dyDescent="0.25">
      <c r="A77" s="6">
        <f ca="1">IFERROR(__xludf.DUMMYFUNCTION("""COMPUTED_VALUE"""),79)</f>
        <v>79</v>
      </c>
      <c r="B77" s="6">
        <f ca="1">IFERROR(__xludf.DUMMYFUNCTION("""COMPUTED_VALUE"""),5)</f>
        <v>5</v>
      </c>
      <c r="C77" s="6" t="str">
        <f ca="1">IFERROR(__xludf.DUMMYFUNCTION("""COMPUTED_VALUE"""),"Port of Veracruz Expansion")</f>
        <v>Port of Veracruz Expansion</v>
      </c>
      <c r="D77" s="6" t="str">
        <f ca="1">IFERROR(__xludf.DUMMYFUNCTION("""COMPUTED_VALUE"""),"Other Chinese Institution")</f>
        <v>Other Chinese Institution</v>
      </c>
      <c r="E77" s="6" t="str">
        <f ca="1">IFERROR(__xludf.DUMMYFUNCTION("""COMPUTED_VALUE"""),"CCCC, Govt of Mexico")</f>
        <v>CCCC, Govt of Mexico</v>
      </c>
      <c r="F77" s="6" t="str">
        <f ca="1">IFERROR(__xludf.DUMMYFUNCTION("""COMPUTED_VALUE"""),"Hutchinson Ports, China Harbour Engineering Company, Third Harbour Engineering Co. Ltd")</f>
        <v>Hutchinson Ports, China Harbour Engineering Company, Third Harbour Engineering Co. Ltd</v>
      </c>
      <c r="G77" s="6">
        <f ca="1">IFERROR(__xludf.DUMMYFUNCTION("""COMPUTED_VALUE"""),7)</f>
        <v>7</v>
      </c>
      <c r="H77" s="6" t="str">
        <f ca="1">IFERROR(__xludf.DUMMYFUNCTION("""COMPUTED_VALUE"""),"Port")</f>
        <v>Port</v>
      </c>
      <c r="I77" s="6" t="str">
        <f ca="1">IFERROR(__xludf.DUMMYFUNCTION("""COMPUTED_VALUE"""),"Investment ")</f>
        <v xml:space="preserve">Investment </v>
      </c>
      <c r="J77" s="6" t="str">
        <f ca="1">IFERROR(__xludf.DUMMYFUNCTION("""COMPUTED_VALUE"""),"$3,690,000,000 USD ")</f>
        <v xml:space="preserve">$3,690,000,000 USD </v>
      </c>
      <c r="K77" s="6" t="str">
        <f ca="1">IFERROR(__xludf.DUMMYFUNCTION("""COMPUTED_VALUE"""),"MEX")</f>
        <v>MEX</v>
      </c>
      <c r="L77" s="6" t="str">
        <f ca="1">IFERROR(__xludf.DUMMYFUNCTION("""COMPUTED_VALUE"""),"Mexico")</f>
        <v>Mexico</v>
      </c>
      <c r="M77" s="6" t="str">
        <f ca="1">IFERROR(__xludf.DUMMYFUNCTION("""COMPUTED_VALUE"""),"Heroica Veracruz, State of Veracruz, Mexico")</f>
        <v>Heroica Veracruz, State of Veracruz, Mexico</v>
      </c>
      <c r="N77" s="6" t="str">
        <f ca="1">IFERROR(__xludf.DUMMYFUNCTION("""COMPUTED_VALUE"""),"The government of Mexico, through the port authority only contributed US$ 368.4 million. The rest has come from the private sector, including Hutchinson Ports. According to Hutchinson Port Holdings, their share in the Port of Veracruz is a subsidiary, whi"&amp;"le other charges they have are wholly owned, joint venture, or other. This expansion was contracted by China Harbour Engineering Company Ltd, and built by the CCCC Third Harbour Engineering Co., Ltd., both subsidiaries of China Communications Construction"&amp;" Limited (CCCC). The expansion is located northwest of the existing port and both ports are now linked by a newly constructed highway. Located northwest of the original port,  the project included dozens of sub-divisional works such as a more than 400,000"&amp;" sq m storage yard, a heavy container zone, a refrigerated container zone and structural layers consisting of a PV zone, empty container areas and a housing project, as well as the water and electricity programs. This not an official BRI-project because M"&amp;"exico has not yet joined the BRI.")</f>
        <v>The government of Mexico, through the port authority only contributed US$ 368.4 million. The rest has come from the private sector, including Hutchinson Ports. According to Hutchinson Port Holdings, their share in the Port of Veracruz is a subsidiary, while other charges they have are wholly owned, joint venture, or other. This expansion was contracted by China Harbour Engineering Company Ltd, and built by the CCCC Third Harbour Engineering Co., Ltd., both subsidiaries of China Communications Construction Limited (CCCC). The expansion is located northwest of the existing port and both ports are now linked by a newly constructed highway. Located northwest of the original port,  the project included dozens of sub-divisional works such as a more than 400,000 sq m storage yard, a heavy container zone, a refrigerated container zone and structural layers consisting of a PV zone, empty container areas and a housing project, as well as the water and electricity programs. This not an official BRI-project because Mexico has not yet joined the BRI.</v>
      </c>
      <c r="O77" s="14">
        <f ca="1">IFERROR(__xludf.DUMMYFUNCTION("""COMPUTED_VALUE"""),43252)</f>
        <v>43252</v>
      </c>
      <c r="P77" s="6" t="str">
        <f ca="1">IFERROR(__xludf.DUMMYFUNCTION("""COMPUTED_VALUE"""),"N/A")</f>
        <v>N/A</v>
      </c>
      <c r="Q77" s="6" t="str">
        <f ca="1">IFERROR(__xludf.DUMMYFUNCTION("""COMPUTED_VALUE"""),"Under construction - unknown")</f>
        <v>Under construction - unknown</v>
      </c>
      <c r="R77" s="6" t="str">
        <f ca="1">IFERROR(__xludf.DUMMYFUNCTION("""COMPUTED_VALUE"""),"PRT")</f>
        <v>PRT</v>
      </c>
      <c r="S77" s="9" t="str">
        <f ca="1">IFERROR(__xludf.DUMMYFUNCTION("""COMPUTED_VALUE"""),"https://gist.github.com/Remy2020/e7d1325a8e8f17039323c7ea79619dbe")</f>
        <v>https://gist.github.com/Remy2020/e7d1325a8e8f17039323c7ea79619dbe</v>
      </c>
      <c r="T77" s="6" t="str">
        <f ca="1">IFERROR(__xludf.DUMMYFUNCTION("""COMPUTED_VALUE"""),"BLOB")</f>
        <v>BLOB</v>
      </c>
      <c r="U77" s="6" t="str">
        <f ca="1">IFERROR(__xludf.DUMMYFUNCTION("""COMPUTED_VALUE"""),"Used satellite imagery and then followed google maps")</f>
        <v>Used satellite imagery and then followed google maps</v>
      </c>
      <c r="V77" s="6" t="str">
        <f ca="1">IFERROR(__xludf.DUMMYFUNCTION("""COMPUTED_VALUE"""),"Yes (Both)")</f>
        <v>Yes (Both)</v>
      </c>
      <c r="W77" s="6" t="str">
        <f ca="1">IFERROR(__xludf.DUMMYFUNCTION("""COMPUTED_VALUE"""),"Veracruz")</f>
        <v>Veracruz</v>
      </c>
      <c r="X77" s="6" t="str">
        <f ca="1">IFERROR(__xludf.DUMMYFUNCTION("""COMPUTED_VALUE"""),"02/33/2017 | 02/22/2019 | 03/20/2020")</f>
        <v>02/33/2017 | 02/22/2019 | 03/20/2020</v>
      </c>
      <c r="Y77" s="6" t="str">
        <f ca="1">IFERROR(__xludf.DUMMYFUNCTION("""COMPUTED_VALUE"""),"A 3,000m-long quay is being built. The middle section (about a third of the total length) seems operational with 7 cranes servicing cargo ships and a yard of TEUs. At the northern-most part of the quay, 12 large cylindrical structures are being built, pre"&amp;"sumably for storage. Construction is ongoing.")</f>
        <v>A 3,000m-long quay is being built. The middle section (about a third of the total length) seems operational with 7 cranes servicing cargo ships and a yard of TEUs. At the northern-most part of the quay, 12 large cylindrical structures are being built, presumably for storage. Construction is ongoing.</v>
      </c>
      <c r="Z77" s="6" t="str">
        <f ca="1">IFERROR(__xludf.DUMMYFUNCTION("""COMPUTED_VALUE"""),"LAT: 19.2368 LON: -96.1653")</f>
        <v>LAT: 19.2368 LON: -96.1653</v>
      </c>
      <c r="AA77" s="6"/>
      <c r="AB77" s="6"/>
      <c r="AC77" s="6"/>
      <c r="AD77" s="6"/>
      <c r="AE77" s="6"/>
      <c r="AF77" s="6"/>
      <c r="AG77" s="6"/>
    </row>
    <row r="78" spans="1:33" ht="66" x14ac:dyDescent="0.25">
      <c r="A78" s="6">
        <f ca="1">IFERROR(__xludf.DUMMYFUNCTION("""COMPUTED_VALUE"""),81)</f>
        <v>81</v>
      </c>
      <c r="B78" s="6">
        <f ca="1">IFERROR(__xludf.DUMMYFUNCTION("""COMPUTED_VALUE"""),3)</f>
        <v>3</v>
      </c>
      <c r="C78" s="6" t="str">
        <f ca="1">IFERROR(__xludf.DUMMYFUNCTION("""COMPUTED_VALUE"""),"Sonora Lithium Production")</f>
        <v>Sonora Lithium Production</v>
      </c>
      <c r="D78" s="6" t="str">
        <f ca="1">IFERROR(__xludf.DUMMYFUNCTION("""COMPUTED_VALUE"""),"Other Chinese Institution")</f>
        <v>Other Chinese Institution</v>
      </c>
      <c r="E78" s="6" t="str">
        <f ca="1">IFERROR(__xludf.DUMMYFUNCTION("""COMPUTED_VALUE"""),"Ganfeng Lithium Co Ltd.")</f>
        <v>Ganfeng Lithium Co Ltd.</v>
      </c>
      <c r="F78" s="6" t="str">
        <f ca="1">IFERROR(__xludf.DUMMYFUNCTION("""COMPUTED_VALUE"""),"Bacanora Lithium")</f>
        <v>Bacanora Lithium</v>
      </c>
      <c r="G78" s="6">
        <f ca="1">IFERROR(__xludf.DUMMYFUNCTION("""COMPUTED_VALUE"""),10)</f>
        <v>10</v>
      </c>
      <c r="H78" s="6" t="str">
        <f ca="1">IFERROR(__xludf.DUMMYFUNCTION("""COMPUTED_VALUE"""),"Manufacturing / Production")</f>
        <v>Manufacturing / Production</v>
      </c>
      <c r="I78" s="6" t="str">
        <f ca="1">IFERROR(__xludf.DUMMYFUNCTION("""COMPUTED_VALUE"""),"Joint Venture, Investment")</f>
        <v>Joint Venture, Investment</v>
      </c>
      <c r="J78" s="6" t="str">
        <f ca="1">IFERROR(__xludf.DUMMYFUNCTION("""COMPUTED_VALUE"""),"N/A")</f>
        <v>N/A</v>
      </c>
      <c r="K78" s="6" t="str">
        <f ca="1">IFERROR(__xludf.DUMMYFUNCTION("""COMPUTED_VALUE"""),"MEX")</f>
        <v>MEX</v>
      </c>
      <c r="L78" s="6" t="str">
        <f ca="1">IFERROR(__xludf.DUMMYFUNCTION("""COMPUTED_VALUE"""),"Mexico")</f>
        <v>Mexico</v>
      </c>
      <c r="M78" s="6" t="str">
        <f ca="1">IFERROR(__xludf.DUMMYFUNCTION("""COMPUTED_VALUE"""),"Sonora, Mexico")</f>
        <v>Sonora, Mexico</v>
      </c>
      <c r="N78" s="6" t="str">
        <f ca="1">IFERROR(__xludf.DUMMYFUNCTION("""COMPUTED_VALUE"""),"Bacanora Lithium is partnering with Ganfeng, a Chinese lithium producer, to fund and construct a lithium production plant in Sonora, Mexico. Ganfeng plans to purchase shares worth 29.99% of Bacanora and will have the option to acquire up to 50% worth of i"&amp;"nterest in the Sonora project following the completion of their initial investment. This investment makes the project much more feasible for Bacanora by substantially lowering their share of the costs while simultaneously providing Ganfeng with greater ac"&amp;"cess to the global lithium market. This not an official BRI-project because Mexico has not yet joined the BRI.")</f>
        <v>Bacanora Lithium is partnering with Ganfeng, a Chinese lithium producer, to fund and construct a lithium production plant in Sonora, Mexico. Ganfeng plans to purchase shares worth 29.99% of Bacanora and will have the option to acquire up to 50% worth of interest in the Sonora project following the completion of their initial investment. This investment makes the project much more feasible for Bacanora by substantially lowering their share of the costs while simultaneously providing Ganfeng with greater access to the global lithium market. This not an official BRI-project because Mexico has not yet joined the BRI.</v>
      </c>
      <c r="O78" s="6" t="str">
        <f ca="1">IFERROR(__xludf.DUMMYFUNCTION("""COMPUTED_VALUE"""),"05/00/2019")</f>
        <v>05/00/2019</v>
      </c>
      <c r="P78" s="6" t="str">
        <f ca="1">IFERROR(__xludf.DUMMYFUNCTION("""COMPUTED_VALUE"""),"N/A")</f>
        <v>N/A</v>
      </c>
      <c r="Q78" s="6" t="str">
        <f ca="1">IFERROR(__xludf.DUMMYFUNCTION("""COMPUTED_VALUE"""),"Under construction - on time")</f>
        <v>Under construction - on time</v>
      </c>
      <c r="R78" s="6" t="str">
        <f ca="1">IFERROR(__xludf.DUMMYFUNCTION("""COMPUTED_VALUE"""),"INDS")</f>
        <v>INDS</v>
      </c>
      <c r="S78" s="9" t="str">
        <f ca="1">IFERROR(__xludf.DUMMYFUNCTION("""COMPUTED_VALUE"""),"https://gist.github.com/mayadeutchman/1773ff82ce7fa88a95a4460180413752")</f>
        <v>https://gist.github.com/mayadeutchman/1773ff82ce7fa88a95a4460180413752</v>
      </c>
      <c r="T78" s="6" t="str">
        <f ca="1">IFERROR(__xludf.DUMMYFUNCTION("""COMPUTED_VALUE"""),"BLOB")</f>
        <v>BLOB</v>
      </c>
      <c r="U78" s="6" t="str">
        <f ca="1">IFERROR(__xludf.DUMMYFUNCTION("""COMPUTED_VALUE"""),"Used map at the following web address: https://www.cadenceminerals.com/projects/sonora-lithium-project/ and followed google maps")</f>
        <v>Used map at the following web address: https://www.cadenceminerals.com/projects/sonora-lithium-project/ and followed google maps</v>
      </c>
      <c r="V78" s="6" t="str">
        <f ca="1">IFERROR(__xludf.DUMMYFUNCTION("""COMPUTED_VALUE"""),"Yes (Both)")</f>
        <v>Yes (Both)</v>
      </c>
      <c r="W78" s="6" t="str">
        <f ca="1">IFERROR(__xludf.DUMMYFUNCTION("""COMPUTED_VALUE"""),"Sonora")</f>
        <v>Sonora</v>
      </c>
      <c r="X78" s="6"/>
      <c r="Y78" s="6"/>
      <c r="Z78" s="6"/>
      <c r="AA78" s="6"/>
      <c r="AB78" s="6"/>
      <c r="AC78" s="6"/>
      <c r="AD78" s="6"/>
      <c r="AE78" s="6"/>
      <c r="AF78" s="6"/>
      <c r="AG78" s="6"/>
    </row>
    <row r="79" spans="1:33" ht="66" x14ac:dyDescent="0.25">
      <c r="A79" s="6">
        <f ca="1">IFERROR(__xludf.DUMMYFUNCTION("""COMPUTED_VALUE"""),82)</f>
        <v>82</v>
      </c>
      <c r="B79" s="6">
        <f ca="1">IFERROR(__xludf.DUMMYFUNCTION("""COMPUTED_VALUE"""),3)</f>
        <v>3</v>
      </c>
      <c r="C79" s="6" t="str">
        <f ca="1">IFERROR(__xludf.DUMMYFUNCTION("""COMPUTED_VALUE"""),"Hofusan Industrial Park ")</f>
        <v xml:space="preserve">Hofusan Industrial Park </v>
      </c>
      <c r="D79" s="6" t="str">
        <f ca="1">IFERROR(__xludf.DUMMYFUNCTION("""COMPUTED_VALUE"""),"Other Chinese Institution")</f>
        <v>Other Chinese Institution</v>
      </c>
      <c r="E79" s="6" t="str">
        <f ca="1">IFERROR(__xludf.DUMMYFUNCTION("""COMPUTED_VALUE"""),"Holley Group, Futong Group, and the Santos Family")</f>
        <v>Holley Group, Futong Group, and the Santos Family</v>
      </c>
      <c r="F79" s="6" t="str">
        <f ca="1">IFERROR(__xludf.DUMMYFUNCTION("""COMPUTED_VALUE"""),"Holley Group")</f>
        <v>Holley Group</v>
      </c>
      <c r="G79" s="6">
        <f ca="1">IFERROR(__xludf.DUMMYFUNCTION("""COMPUTED_VALUE"""),10)</f>
        <v>10</v>
      </c>
      <c r="H79" s="6" t="str">
        <f ca="1">IFERROR(__xludf.DUMMYFUNCTION("""COMPUTED_VALUE"""),"Manufacturing / Production")</f>
        <v>Manufacturing / Production</v>
      </c>
      <c r="I79" s="6" t="str">
        <f ca="1">IFERROR(__xludf.DUMMYFUNCTION("""COMPUTED_VALUE"""),"Joint Venture, Investment ")</f>
        <v xml:space="preserve">Joint Venture, Investment </v>
      </c>
      <c r="J79" s="6" t="str">
        <f ca="1">IFERROR(__xludf.DUMMYFUNCTION("""COMPUTED_VALUE"""),"$65,000,000 USD")</f>
        <v>$65,000,000 USD</v>
      </c>
      <c r="K79" s="6" t="str">
        <f ca="1">IFERROR(__xludf.DUMMYFUNCTION("""COMPUTED_VALUE"""),"MEX")</f>
        <v>MEX</v>
      </c>
      <c r="L79" s="6" t="str">
        <f ca="1">IFERROR(__xludf.DUMMYFUNCTION("""COMPUTED_VALUE"""),"Mexico")</f>
        <v>Mexico</v>
      </c>
      <c r="M79" s="6" t="str">
        <f ca="1">IFERROR(__xludf.DUMMYFUNCTION("""COMPUTED_VALUE"""),"Salinas Victoria, State of Nuevo Leon, Mexico")</f>
        <v>Salinas Victoria, State of Nuevo Leon, Mexico</v>
      </c>
      <c r="N79" s="6" t="str">
        <f ca="1">IFERROR(__xludf.DUMMYFUNCTION("""COMPUTED_VALUE"""),"The Holley Group is the major shareholder of the Hofusan Industrial Park. The Futong Group is also involved along with the Santos Family. The three groups have invested $65 USD in the construction of the industrial park, which aims to gain a foreign inves"&amp;"tment of up to $2 billion USD from chinese companies in all different sectors. The goal is to attract 100 chinese companies in the next 10 years. There are three phases; the first and second are industrial and commercial areas while the third is residenti"&amp;"al and living facilities. This not an official BRI-project because Mexico has not yet joined the BRI.")</f>
        <v>The Holley Group is the major shareholder of the Hofusan Industrial Park. The Futong Group is also involved along with the Santos Family. The three groups have invested $65 USD in the construction of the industrial park, which aims to gain a foreign investment of up to $2 billion USD from chinese companies in all different sectors. The goal is to attract 100 chinese companies in the next 10 years. There are three phases; the first and second are industrial and commercial areas while the third is residential and living facilities. This not an official BRI-project because Mexico has not yet joined the BRI.</v>
      </c>
      <c r="O79" s="6" t="str">
        <f ca="1">IFERROR(__xludf.DUMMYFUNCTION("""COMPUTED_VALUE"""),"08/00/2017")</f>
        <v>08/00/2017</v>
      </c>
      <c r="P79" s="6" t="str">
        <f ca="1">IFERROR(__xludf.DUMMYFUNCTION("""COMPUTED_VALUE"""),"N/A")</f>
        <v>N/A</v>
      </c>
      <c r="Q79" s="6" t="str">
        <f ca="1">IFERROR(__xludf.DUMMYFUNCTION("""COMPUTED_VALUE"""),"Under construction - unknown")</f>
        <v>Under construction - unknown</v>
      </c>
      <c r="R79" s="6" t="str">
        <f ca="1">IFERROR(__xludf.DUMMYFUNCTION("""COMPUTED_VALUE"""),"INDS")</f>
        <v>INDS</v>
      </c>
      <c r="S79" s="9" t="str">
        <f ca="1">IFERROR(__xludf.DUMMYFUNCTION("""COMPUTED_VALUE"""),"https://gist.github.com/micrittenden/e0e95174a7b765c53521be35b114f9a5")</f>
        <v>https://gist.github.com/micrittenden/e0e95174a7b765c53521be35b114f9a5</v>
      </c>
      <c r="T79" s="6" t="str">
        <f ca="1">IFERROR(__xludf.DUMMYFUNCTION("""COMPUTED_VALUE"""),"BLOB")</f>
        <v>BLOB</v>
      </c>
      <c r="U79" s="6" t="str">
        <f ca="1">IFERROR(__xludf.DUMMYFUNCTION("""COMPUTED_VALUE"""),"Used satellite imagery and followed OSM")</f>
        <v>Used satellite imagery and followed OSM</v>
      </c>
      <c r="V79" s="6" t="str">
        <f ca="1">IFERROR(__xludf.DUMMYFUNCTION("""COMPUTED_VALUE"""),"Yes (Both)")</f>
        <v>Yes (Both)</v>
      </c>
      <c r="W79" s="6" t="str">
        <f ca="1">IFERROR(__xludf.DUMMYFUNCTION("""COMPUTED_VALUE"""),"Nuevo Leon")</f>
        <v>Nuevo Leon</v>
      </c>
      <c r="X79" s="6"/>
      <c r="Y79" s="6"/>
      <c r="Z79" s="6"/>
      <c r="AA79" s="6"/>
      <c r="AB79" s="6"/>
      <c r="AC79" s="6"/>
      <c r="AD79" s="6"/>
      <c r="AE79" s="6"/>
      <c r="AF79" s="6"/>
      <c r="AG79" s="6"/>
    </row>
    <row r="80" spans="1:33" ht="92.4" x14ac:dyDescent="0.25">
      <c r="A80" s="6">
        <f ca="1">IFERROR(__xludf.DUMMYFUNCTION("""COMPUTED_VALUE"""),83)</f>
        <v>83</v>
      </c>
      <c r="B80" s="6">
        <f ca="1">IFERROR(__xludf.DUMMYFUNCTION("""COMPUTED_VALUE"""),4)</f>
        <v>4</v>
      </c>
      <c r="C80" s="6" t="str">
        <f ca="1">IFERROR(__xludf.DUMMYFUNCTION("""COMPUTED_VALUE"""),"BAIC Assembly Plant")</f>
        <v>BAIC Assembly Plant</v>
      </c>
      <c r="D80" s="6" t="str">
        <f ca="1">IFERROR(__xludf.DUMMYFUNCTION("""COMPUTED_VALUE"""),"Other Chinese Institution")</f>
        <v>Other Chinese Institution</v>
      </c>
      <c r="E80" s="6" t="str">
        <f ca="1">IFERROR(__xludf.DUMMYFUNCTION("""COMPUTED_VALUE"""),"Beijing Automotive Industry Company  (BAIC)")</f>
        <v>Beijing Automotive Industry Company  (BAIC)</v>
      </c>
      <c r="F80" s="6" t="str">
        <f ca="1">IFERROR(__xludf.DUMMYFUNCTION("""COMPUTED_VALUE"""),"Beijing Automotive Industry Company  (BAIC)")</f>
        <v>Beijing Automotive Industry Company  (BAIC)</v>
      </c>
      <c r="G80" s="6">
        <f ca="1">IFERROR(__xludf.DUMMYFUNCTION("""COMPUTED_VALUE"""),7)</f>
        <v>7</v>
      </c>
      <c r="H80" s="6" t="str">
        <f ca="1">IFERROR(__xludf.DUMMYFUNCTION("""COMPUTED_VALUE"""),"Manufacturing / Production")</f>
        <v>Manufacturing / Production</v>
      </c>
      <c r="I80" s="6" t="str">
        <f ca="1">IFERROR(__xludf.DUMMYFUNCTION("""COMPUTED_VALUE"""),"Investment")</f>
        <v>Investment</v>
      </c>
      <c r="J80" s="6" t="str">
        <f ca="1">IFERROR(__xludf.DUMMYFUNCTION("""COMPUTED_VALUE"""),"$2,000,000,000 USD")</f>
        <v>$2,000,000,000 USD</v>
      </c>
      <c r="K80" s="6" t="str">
        <f ca="1">IFERROR(__xludf.DUMMYFUNCTION("""COMPUTED_VALUE"""),"MEX")</f>
        <v>MEX</v>
      </c>
      <c r="L80" s="6" t="str">
        <f ca="1">IFERROR(__xludf.DUMMYFUNCTION("""COMPUTED_VALUE"""),"Mexico")</f>
        <v>Mexico</v>
      </c>
      <c r="M80" s="6" t="str">
        <f ca="1">IFERROR(__xludf.DUMMYFUNCTION("""COMPUTED_VALUE"""),"The plant could be built in one of eight states, being Sonora, Coahuila, Nuevo León, Hidalgo, Guanajuato, Yucatan, or Quitana Roo. ")</f>
        <v xml:space="preserve">The plant could be built in one of eight states, being Sonora, Coahuila, Nuevo León, Hidalgo, Guanajuato, Yucatan, or Quitana Roo. </v>
      </c>
      <c r="N80" s="6" t="str">
        <f ca="1">IFERROR(__xludf.DUMMYFUNCTION("""COMPUTED_VALUE"""),"BAIC is set to invest USD $2 billion on a new plant in Mexico, with construction assumed to begin in 2020. At present, BAIC pays a 21% import tariffs on the value of the content of containers that it uses to ship pre-assembled automobile modules. These mo"&amp;"dules are shipped to a facility in Veracruz at which final assembly of the vehicles is done. By setting up a full manufacturing plant in Mexico, the company will be able to sell its products to the Mexican and South American markets at a more competitive "&amp;"cost. This not an official BRI-project because Mexico has not yet joined the BRI.")</f>
        <v>BAIC is set to invest USD $2 billion on a new plant in Mexico, with construction assumed to begin in 2020. At present, BAIC pays a 21% import tariffs on the value of the content of containers that it uses to ship pre-assembled automobile modules. These modules are shipped to a facility in Veracruz at which final assembly of the vehicles is done. By setting up a full manufacturing plant in Mexico, the company will be able to sell its products to the Mexican and South American markets at a more competitive cost. This not an official BRI-project because Mexico has not yet joined the BRI.</v>
      </c>
      <c r="O80" s="6" t="str">
        <f ca="1">IFERROR(__xludf.DUMMYFUNCTION("""COMPUTED_VALUE"""),"00/00/2020")</f>
        <v>00/00/2020</v>
      </c>
      <c r="P80" s="6" t="str">
        <f ca="1">IFERROR(__xludf.DUMMYFUNCTION("""COMPUTED_VALUE"""),"N/A")</f>
        <v>N/A</v>
      </c>
      <c r="Q80" s="6" t="str">
        <f ca="1">IFERROR(__xludf.DUMMYFUNCTION("""COMPUTED_VALUE"""),"Proposed - formal")</f>
        <v>Proposed - formal</v>
      </c>
      <c r="R80" s="6" t="str">
        <f ca="1">IFERROR(__xludf.DUMMYFUNCTION("""COMPUTED_VALUE"""),"UNM")</f>
        <v>UNM</v>
      </c>
      <c r="S80" s="6" t="str">
        <f ca="1">IFERROR(__xludf.DUMMYFUNCTION("""COMPUTED_VALUE"""),"N/A")</f>
        <v>N/A</v>
      </c>
      <c r="T80" s="6" t="str">
        <f ca="1">IFERROR(__xludf.DUMMYFUNCTION("""COMPUTED_VALUE"""),"UNM")</f>
        <v>UNM</v>
      </c>
      <c r="U80" s="6" t="str">
        <f ca="1">IFERROR(__xludf.DUMMYFUNCTION("""COMPUTED_VALUE"""),"Unmappable")</f>
        <v>Unmappable</v>
      </c>
      <c r="V80" s="6" t="str">
        <f ca="1">IFERROR(__xludf.DUMMYFUNCTION("""COMPUTED_VALUE"""),"No")</f>
        <v>No</v>
      </c>
      <c r="W80" s="6" t="str">
        <f ca="1">IFERROR(__xludf.DUMMYFUNCTION("""COMPUTED_VALUE"""),"NA")</f>
        <v>NA</v>
      </c>
      <c r="X80" s="6"/>
      <c r="Y80" s="6"/>
      <c r="Z80" s="6"/>
      <c r="AA80" s="6"/>
      <c r="AB80" s="6"/>
      <c r="AC80" s="6"/>
      <c r="AD80" s="6"/>
      <c r="AE80" s="6"/>
      <c r="AF80" s="6"/>
      <c r="AG80" s="6"/>
    </row>
    <row r="81" spans="1:33" ht="105.6" x14ac:dyDescent="0.25">
      <c r="A81" s="6">
        <f ca="1">IFERROR(__xludf.DUMMYFUNCTION("""COMPUTED_VALUE"""),84)</f>
        <v>84</v>
      </c>
      <c r="B81" s="6">
        <f ca="1">IFERROR(__xludf.DUMMYFUNCTION("""COMPUTED_VALUE"""),4)</f>
        <v>4</v>
      </c>
      <c r="C81" s="6" t="str">
        <f ca="1">IFERROR(__xludf.DUMMYFUNCTION("""COMPUTED_VALUE"""),"Dragon Mart Mega-Mall")</f>
        <v>Dragon Mart Mega-Mall</v>
      </c>
      <c r="D81" s="6" t="str">
        <f ca="1">IFERROR(__xludf.DUMMYFUNCTION("""COMPUTED_VALUE"""),"Other Chinese Institution")</f>
        <v>Other Chinese Institution</v>
      </c>
      <c r="E81" s="6" t="str">
        <f ca="1">IFERROR(__xludf.DUMMYFUNCTION("""COMPUTED_VALUE"""),"Chinamex Middle East Investment &amp; Trade Promotion Center Co Ltd, Chengkai Investment Co Ltd, and New Rainbow Limited")</f>
        <v>Chinamex Middle East Investment &amp; Trade Promotion Center Co Ltd, Chengkai Investment Co Ltd, and New Rainbow Limited</v>
      </c>
      <c r="F81" s="6" t="str">
        <f ca="1">IFERROR(__xludf.DUMMYFUNCTION("""COMPUTED_VALUE"""),"China's Ministry of Commerce, Mexican Government ")</f>
        <v xml:space="preserve">China's Ministry of Commerce, Mexican Government </v>
      </c>
      <c r="G81" s="6">
        <f ca="1">IFERROR(__xludf.DUMMYFUNCTION("""COMPUTED_VALUE"""),7)</f>
        <v>7</v>
      </c>
      <c r="H81" s="6" t="str">
        <f ca="1">IFERROR(__xludf.DUMMYFUNCTION("""COMPUTED_VALUE"""),"Commercial")</f>
        <v>Commercial</v>
      </c>
      <c r="I81" s="6" t="str">
        <f ca="1">IFERROR(__xludf.DUMMYFUNCTION("""COMPUTED_VALUE"""),"Investment")</f>
        <v>Investment</v>
      </c>
      <c r="J81" s="6" t="str">
        <f ca="1">IFERROR(__xludf.DUMMYFUNCTION("""COMPUTED_VALUE"""),"$180,000,000 USD")</f>
        <v>$180,000,000 USD</v>
      </c>
      <c r="K81" s="6" t="str">
        <f ca="1">IFERROR(__xludf.DUMMYFUNCTION("""COMPUTED_VALUE"""),"MEX")</f>
        <v>MEX</v>
      </c>
      <c r="L81" s="6" t="str">
        <f ca="1">IFERROR(__xludf.DUMMYFUNCTION("""COMPUTED_VALUE"""),"Mexico")</f>
        <v>Mexico</v>
      </c>
      <c r="M81" s="6" t="str">
        <f ca="1">IFERROR(__xludf.DUMMYFUNCTION("""COMPUTED_VALUE"""),"Benito Juarez, Cancún, Mexico")</f>
        <v>Benito Juarez, Cancún, Mexico</v>
      </c>
      <c r="N81" s="6" t="str">
        <f ca="1">IFERROR(__xludf.DUMMYFUNCTION("""COMPUTED_VALUE"""),"The Cancun Dragon Mart was set to cover almost 1,500 acres close to the coast of the Caribbean Sea and south of the resort area of Cancun. This mega-mall was intended to be a vehicle to market Chinese and other international goods to Mexicans and tourists"&amp;" alike and plans included housing units as well as a large commercial center. However, in January 2015, Profepa (Mexico's environmental oversight agency) ordered the cancellation of the project due to growing concerns of environmental destruction. The age"&amp;"ncy determined that the project already had a detrimental impact on local beaches and diverse animal species and would continue to inflict further damage if able to continue. The halting of Dragon Mart's construction caused tension between its developers "&amp;"and Mexican environmentalist groups, especially after Profepa fined the developers $1.5 million. This not an official BRI-project because Mexico has not yet joined the BRI.")</f>
        <v>The Cancun Dragon Mart was set to cover almost 1,500 acres close to the coast of the Caribbean Sea and south of the resort area of Cancun. This mega-mall was intended to be a vehicle to market Chinese and other international goods to Mexicans and tourists alike and plans included housing units as well as a large commercial center. However, in January 2015, Profepa (Mexico's environmental oversight agency) ordered the cancellation of the project due to growing concerns of environmental destruction. The agency determined that the project already had a detrimental impact on local beaches and diverse animal species and would continue to inflict further damage if able to continue. The halting of Dragon Mart's construction caused tension between its developers and Mexican environmentalist groups, especially after Profepa fined the developers $1.5 million. This not an official BRI-project because Mexico has not yet joined the BRI.</v>
      </c>
      <c r="O81" s="6" t="str">
        <f ca="1">IFERROR(__xludf.DUMMYFUNCTION("""COMPUTED_VALUE"""),"00/00/2012")</f>
        <v>00/00/2012</v>
      </c>
      <c r="P81" s="6" t="str">
        <f ca="1">IFERROR(__xludf.DUMMYFUNCTION("""COMPUTED_VALUE"""),"N/A")</f>
        <v>N/A</v>
      </c>
      <c r="Q81" s="6" t="str">
        <f ca="1">IFERROR(__xludf.DUMMYFUNCTION("""COMPUTED_VALUE"""),"Cancelled")</f>
        <v>Cancelled</v>
      </c>
      <c r="R81" s="6" t="str">
        <f ca="1">IFERROR(__xludf.DUMMYFUNCTION("""COMPUTED_VALUE"""),"ADM2")</f>
        <v>ADM2</v>
      </c>
      <c r="S81" s="6" t="str">
        <f ca="1">IFERROR(__xludf.DUMMYFUNCTION("""COMPUTED_VALUE"""),"MEX_ADM2_2_0_1_360")</f>
        <v>MEX_ADM2_2_0_1_360</v>
      </c>
      <c r="T81" s="6" t="str">
        <f ca="1">IFERROR(__xludf.DUMMYFUNCTION("""COMPUTED_VALUE"""),"ADM2")</f>
        <v>ADM2</v>
      </c>
      <c r="U81" s="6" t="str">
        <f ca="1">IFERROR(__xludf.DUMMYFUNCTION("""COMPUTED_VALUE"""),"Geoboundaries v.2.0.1 was used")</f>
        <v>Geoboundaries v.2.0.1 was used</v>
      </c>
      <c r="V81" s="6" t="str">
        <f ca="1">IFERROR(__xludf.DUMMYFUNCTION("""COMPUTED_VALUE"""),"Yes (Regional)")</f>
        <v>Yes (Regional)</v>
      </c>
      <c r="W81" s="6" t="str">
        <f ca="1">IFERROR(__xludf.DUMMYFUNCTION("""COMPUTED_VALUE"""),"Quintana Roo")</f>
        <v>Quintana Roo</v>
      </c>
      <c r="X81" s="6"/>
      <c r="Y81" s="6"/>
      <c r="Z81" s="6"/>
      <c r="AA81" s="6"/>
      <c r="AB81" s="6"/>
      <c r="AC81" s="6"/>
      <c r="AD81" s="6"/>
      <c r="AE81" s="6"/>
      <c r="AF81" s="6"/>
      <c r="AG81" s="6"/>
    </row>
    <row r="82" spans="1:33" ht="92.4" x14ac:dyDescent="0.25">
      <c r="A82" s="6">
        <f ca="1">IFERROR(__xludf.DUMMYFUNCTION("""COMPUTED_VALUE"""),85)</f>
        <v>85</v>
      </c>
      <c r="B82" s="6">
        <f ca="1">IFERROR(__xludf.DUMMYFUNCTION("""COMPUTED_VALUE"""),4)</f>
        <v>4</v>
      </c>
      <c r="C82" s="6" t="str">
        <f ca="1">IFERROR(__xludf.DUMMYFUNCTION("""COMPUTED_VALUE"""),"Huawei Fibre Optic Cable")</f>
        <v>Huawei Fibre Optic Cable</v>
      </c>
      <c r="D82" s="6" t="str">
        <f ca="1">IFERROR(__xludf.DUMMYFUNCTION("""COMPUTED_VALUE"""),"Other Chinese Institution")</f>
        <v>Other Chinese Institution</v>
      </c>
      <c r="E82" s="6" t="str">
        <f ca="1">IFERROR(__xludf.DUMMYFUNCTION("""COMPUTED_VALUE"""),"Megacable Holdings, S.A.B. de C.V., Huawei Technologies Company, and Global Marine Systems Limited ")</f>
        <v xml:space="preserve">Megacable Holdings, S.A.B. de C.V., Huawei Technologies Company, and Global Marine Systems Limited </v>
      </c>
      <c r="F82" s="6" t="str">
        <f ca="1">IFERROR(__xludf.DUMMYFUNCTION("""COMPUTED_VALUE"""),"Huawei Marine Networks Co., Limited (Huawei Marine)")</f>
        <v>Huawei Marine Networks Co., Limited (Huawei Marine)</v>
      </c>
      <c r="G82" s="6">
        <f ca="1">IFERROR(__xludf.DUMMYFUNCTION("""COMPUTED_VALUE"""),7)</f>
        <v>7</v>
      </c>
      <c r="H82" s="6" t="str">
        <f ca="1">IFERROR(__xludf.DUMMYFUNCTION("""COMPUTED_VALUE"""),"Telecommunications")</f>
        <v>Telecommunications</v>
      </c>
      <c r="I82" s="6" t="str">
        <f ca="1">IFERROR(__xludf.DUMMYFUNCTION("""COMPUTED_VALUE"""),"Investment")</f>
        <v>Investment</v>
      </c>
      <c r="J82" s="6" t="str">
        <f ca="1">IFERROR(__xludf.DUMMYFUNCTION("""COMPUTED_VALUE"""),"$14,000,000 USD")</f>
        <v>$14,000,000 USD</v>
      </c>
      <c r="K82" s="6" t="str">
        <f ca="1">IFERROR(__xludf.DUMMYFUNCTION("""COMPUTED_VALUE"""),"MEX")</f>
        <v>MEX</v>
      </c>
      <c r="L82" s="6" t="str">
        <f ca="1">IFERROR(__xludf.DUMMYFUNCTION("""COMPUTED_VALUE"""),"Mexico")</f>
        <v>Mexico</v>
      </c>
      <c r="M82" s="6" t="str">
        <f ca="1">IFERROR(__xludf.DUMMYFUNCTION("""COMPUTED_VALUE"""),"Topolobampo, Sinaloa to La Paz, Baja California Sur, Mexico")</f>
        <v>Topolobampo, Sinaloa to La Paz, Baja California Sur, Mexico</v>
      </c>
      <c r="N82" s="6" t="str">
        <f ca="1">IFERROR(__xludf.DUMMYFUNCTION("""COMPUTED_VALUE"""),"Huawei and Megacable launched a marine survey for bringing stable and more stable communication to the Baja Peninsula. The 24-pair unrepeatered submarine cable network will run approximately 250 km and will connect La Paz directly to Topolobambo on the ma"&amp;"inland with this underwater cable. The system will provide better connectivity for La Paz than its current terrestrial fiber system, much of which are based on aerial cables. This not an official BRI-project because Mexico has not yet joined the BRI.")</f>
        <v>Huawei and Megacable launched a marine survey for bringing stable and more stable communication to the Baja Peninsula. The 24-pair unrepeatered submarine cable network will run approximately 250 km and will connect La Paz directly to Topolobambo on the mainland with this underwater cable. The system will provide better connectivity for La Paz than its current terrestrial fiber system, much of which are based on aerial cables. This not an official BRI-project because Mexico has not yet joined the BRI.</v>
      </c>
      <c r="O82" s="12">
        <f ca="1">IFERROR(__xludf.DUMMYFUNCTION("""COMPUTED_VALUE"""),43335)</f>
        <v>43335</v>
      </c>
      <c r="P82" s="6" t="str">
        <f ca="1">IFERROR(__xludf.DUMMYFUNCTION("""COMPUTED_VALUE"""),"N/A")</f>
        <v>N/A</v>
      </c>
      <c r="Q82" s="6" t="str">
        <f ca="1">IFERROR(__xludf.DUMMYFUNCTION("""COMPUTED_VALUE"""),"Under construction - unknown")</f>
        <v>Under construction - unknown</v>
      </c>
      <c r="R82" s="6" t="str">
        <f ca="1">IFERROR(__xludf.DUMMYFUNCTION("""COMPUTED_VALUE"""),"UNM")</f>
        <v>UNM</v>
      </c>
      <c r="S82" s="6" t="str">
        <f ca="1">IFERROR(__xludf.DUMMYFUNCTION("""COMPUTED_VALUE"""),"N/A")</f>
        <v>N/A</v>
      </c>
      <c r="T82" s="6" t="str">
        <f ca="1">IFERROR(__xludf.DUMMYFUNCTION("""COMPUTED_VALUE"""),"UNM")</f>
        <v>UNM</v>
      </c>
      <c r="U82" s="6" t="str">
        <f ca="1">IFERROR(__xludf.DUMMYFUNCTION("""COMPUTED_VALUE"""),"Unmappable")</f>
        <v>Unmappable</v>
      </c>
      <c r="V82" s="6" t="str">
        <f ca="1">IFERROR(__xludf.DUMMYFUNCTION("""COMPUTED_VALUE"""),"No")</f>
        <v>No</v>
      </c>
      <c r="W82" s="6" t="str">
        <f ca="1">IFERROR(__xludf.DUMMYFUNCTION("""COMPUTED_VALUE"""),"NA")</f>
        <v>NA</v>
      </c>
      <c r="X82" s="6"/>
      <c r="Y82" s="6"/>
      <c r="Z82" s="6"/>
      <c r="AA82" s="6"/>
      <c r="AB82" s="6"/>
      <c r="AC82" s="6"/>
      <c r="AD82" s="6"/>
      <c r="AE82" s="6"/>
      <c r="AF82" s="6"/>
      <c r="AG82" s="6"/>
    </row>
    <row r="83" spans="1:33" ht="92.4" x14ac:dyDescent="0.25">
      <c r="A83" s="6">
        <f ca="1">IFERROR(__xludf.DUMMYFUNCTION("""COMPUTED_VALUE"""),87)</f>
        <v>87</v>
      </c>
      <c r="B83" s="6">
        <f ca="1">IFERROR(__xludf.DUMMYFUNCTION("""COMPUTED_VALUE"""),4)</f>
        <v>4</v>
      </c>
      <c r="C83" s="6" t="str">
        <f ca="1">IFERROR(__xludf.DUMMYFUNCTION("""COMPUTED_VALUE"""),"Trans-Isthmus Corridor")</f>
        <v>Trans-Isthmus Corridor</v>
      </c>
      <c r="D83" s="6" t="str">
        <f ca="1">IFERROR(__xludf.DUMMYFUNCTION("""COMPUTED_VALUE"""),"Other Institution")</f>
        <v>Other Institution</v>
      </c>
      <c r="E83" s="6" t="str">
        <f ca="1">IFERROR(__xludf.DUMMYFUNCTION("""COMPUTED_VALUE"""),"Govt. Of Mexico, possibly PRC")</f>
        <v>Govt. Of Mexico, possibly PRC</v>
      </c>
      <c r="F83" s="6" t="str">
        <f ca="1">IFERROR(__xludf.DUMMYFUNCTION("""COMPUTED_VALUE"""),"Corredor Interoceánico del Istmo de Tehuantepec (CIIT)")</f>
        <v>Corredor Interoceánico del Istmo de Tehuantepec (CIIT)</v>
      </c>
      <c r="G83" s="6">
        <f ca="1">IFERROR(__xludf.DUMMYFUNCTION("""COMPUTED_VALUE"""),7)</f>
        <v>7</v>
      </c>
      <c r="H83" s="6" t="str">
        <f ca="1">IFERROR(__xludf.DUMMYFUNCTION("""COMPUTED_VALUE"""),"Transportation - general")</f>
        <v>Transportation - general</v>
      </c>
      <c r="I83" s="6" t="str">
        <f ca="1">IFERROR(__xludf.DUMMYFUNCTION("""COMPUTED_VALUE"""),"Investment")</f>
        <v>Investment</v>
      </c>
      <c r="J83" s="6" t="str">
        <f ca="1">IFERROR(__xludf.DUMMYFUNCTION("""COMPUTED_VALUE"""),"N/A")</f>
        <v>N/A</v>
      </c>
      <c r="K83" s="6" t="str">
        <f ca="1">IFERROR(__xludf.DUMMYFUNCTION("""COMPUTED_VALUE"""),"MEX")</f>
        <v>MEX</v>
      </c>
      <c r="L83" s="6" t="str">
        <f ca="1">IFERROR(__xludf.DUMMYFUNCTION("""COMPUTED_VALUE"""),"Mexico")</f>
        <v>Mexico</v>
      </c>
      <c r="M83" s="6" t="str">
        <f ca="1">IFERROR(__xludf.DUMMYFUNCTION("""COMPUTED_VALUE"""),"Salina Cruz, Oaxaca and Coatzacoalcos and railways links/gas lines between them")</f>
        <v>Salina Cruz, Oaxaca and Coatzacoalcos and railways links/gas lines between them</v>
      </c>
      <c r="N83" s="6" t="str">
        <f ca="1">IFERROR(__xludf.DUMMYFUNCTION("""COMPUTED_VALUE"""),"This project, led by the Mexican government, is designed to upgrade the railroad system between Coatzacoalcos and Salina Cruz and expand the capacity of each port. It aims to rival the Panama Canal and establish Mexico as an important middleman for North "&amp;"American Trade. The PRC has pledged to invest money in this project but it is unclear how much or when they will. The project will allow connections between potential Chinese Special Economic Zones in the area, which would benefit Chinese investment. The "&amp;"goal of the project is for an electric train to carry 300k tons of cargo between the two cities per day and the construction of four additional piers in the two ports. Gas lines will be established between all of the cities. Modernization of the ports and"&amp;" rail link are supposedly already underway. This not an official BRI-project because Mexico has not yet joined the BRI.")</f>
        <v>This project, led by the Mexican government, is designed to upgrade the railroad system between Coatzacoalcos and Salina Cruz and expand the capacity of each port. It aims to rival the Panama Canal and establish Mexico as an important middleman for North American Trade. The PRC has pledged to invest money in this project but it is unclear how much or when they will. The project will allow connections between potential Chinese Special Economic Zones in the area, which would benefit Chinese investment. The goal of the project is for an electric train to carry 300k tons of cargo between the two cities per day and the construction of four additional piers in the two ports. Gas lines will be established between all of the cities. Modernization of the ports and rail link are supposedly already underway. This not an official BRI-project because Mexico has not yet joined the BRI.</v>
      </c>
      <c r="O83" s="6" t="str">
        <f ca="1">IFERROR(__xludf.DUMMYFUNCTION("""COMPUTED_VALUE"""),"00/00/2019")</f>
        <v>00/00/2019</v>
      </c>
      <c r="P83" s="6" t="str">
        <f ca="1">IFERROR(__xludf.DUMMYFUNCTION("""COMPUTED_VALUE"""),"N/A")</f>
        <v>N/A</v>
      </c>
      <c r="Q83" s="6" t="str">
        <f ca="1">IFERROR(__xludf.DUMMYFUNCTION("""COMPUTED_VALUE"""),"Under construction - unknown")</f>
        <v>Under construction - unknown</v>
      </c>
      <c r="R83" s="6" t="str">
        <f ca="1">IFERROR(__xludf.DUMMYFUNCTION("""COMPUTED_VALUE"""),"PCLI")</f>
        <v>PCLI</v>
      </c>
      <c r="S83" s="6" t="str">
        <f ca="1">IFERROR(__xludf.DUMMYFUNCTION("""COMPUTED_VALUE"""),"MEX_ADM0_2_0_0_0")</f>
        <v>MEX_ADM0_2_0_0_0</v>
      </c>
      <c r="T83" s="6" t="str">
        <f ca="1">IFERROR(__xludf.DUMMYFUNCTION("""COMPUTED_VALUE"""),"PCLI")</f>
        <v>PCLI</v>
      </c>
      <c r="U83" s="6" t="str">
        <f ca="1">IFERROR(__xludf.DUMMYFUNCTION("""COMPUTED_VALUE"""),"Coded up to country level")</f>
        <v>Coded up to country level</v>
      </c>
      <c r="V83" s="6" t="str">
        <f ca="1">IFERROR(__xludf.DUMMYFUNCTION("""COMPUTED_VALUE"""),"No")</f>
        <v>No</v>
      </c>
      <c r="W83" s="6" t="str">
        <f ca="1">IFERROR(__xludf.DUMMYFUNCTION("""COMPUTED_VALUE"""),"NA")</f>
        <v>NA</v>
      </c>
      <c r="X83" s="6"/>
      <c r="Y83" s="6"/>
      <c r="Z83" s="6"/>
      <c r="AA83" s="6"/>
      <c r="AB83" s="6"/>
      <c r="AC83" s="6"/>
      <c r="AD83" s="6"/>
      <c r="AE83" s="6"/>
      <c r="AF83" s="6"/>
      <c r="AG83" s="6"/>
    </row>
    <row r="84" spans="1:33" ht="105.6" x14ac:dyDescent="0.25">
      <c r="A84" s="6">
        <f ca="1">IFERROR(__xludf.DUMMYFUNCTION("""COMPUTED_VALUE"""),88)</f>
        <v>88</v>
      </c>
      <c r="B84" s="6">
        <f ca="1">IFERROR(__xludf.DUMMYFUNCTION("""COMPUTED_VALUE"""),3)</f>
        <v>3</v>
      </c>
      <c r="C84" s="6" t="str">
        <f ca="1">IFERROR(__xludf.DUMMYFUNCTION("""COMPUTED_VALUE"""),"TETRA Network Radio System for Mexico City International Airport")</f>
        <v>TETRA Network Radio System for Mexico City International Airport</v>
      </c>
      <c r="D84" s="6" t="str">
        <f ca="1">IFERROR(__xludf.DUMMYFUNCTION("""COMPUTED_VALUE"""),"Other Chinese Institution")</f>
        <v>Other Chinese Institution</v>
      </c>
      <c r="E84" s="6" t="str">
        <f ca="1">IFERROR(__xludf.DUMMYFUNCTION("""COMPUTED_VALUE"""),"Hytera")</f>
        <v>Hytera</v>
      </c>
      <c r="F84" s="6" t="str">
        <f ca="1">IFERROR(__xludf.DUMMYFUNCTION("""COMPUTED_VALUE"""),"Sepura")</f>
        <v>Sepura</v>
      </c>
      <c r="G84" s="6">
        <f ca="1">IFERROR(__xludf.DUMMYFUNCTION("""COMPUTED_VALUE"""),10)</f>
        <v>10</v>
      </c>
      <c r="H84" s="6" t="str">
        <f ca="1">IFERROR(__xludf.DUMMYFUNCTION("""COMPUTED_VALUE"""),"Airport")</f>
        <v>Airport</v>
      </c>
      <c r="I84" s="6" t="str">
        <f ca="1">IFERROR(__xludf.DUMMYFUNCTION("""COMPUTED_VALUE"""),"Contract")</f>
        <v>Contract</v>
      </c>
      <c r="J84" s="6" t="str">
        <f ca="1">IFERROR(__xludf.DUMMYFUNCTION("""COMPUTED_VALUE"""),"N/A")</f>
        <v>N/A</v>
      </c>
      <c r="K84" s="6" t="str">
        <f ca="1">IFERROR(__xludf.DUMMYFUNCTION("""COMPUTED_VALUE"""),"MEX")</f>
        <v>MEX</v>
      </c>
      <c r="L84" s="6" t="str">
        <f ca="1">IFERROR(__xludf.DUMMYFUNCTION("""COMPUTED_VALUE"""),"Mexico")</f>
        <v>Mexico</v>
      </c>
      <c r="M84" s="6" t="str">
        <f ca="1">IFERROR(__xludf.DUMMYFUNCTION("""COMPUTED_VALUE"""),"Mexico City International Airport, Capitán Carlos León S/N, Peñón de los Baños, Venustiano Carranza, 15620 Ciudad de México, CDMX, Mexico")</f>
        <v>Mexico City International Airport, Capitán Carlos León S/N, Peñón de los Baños, Venustiano Carranza, 15620 Ciudad de México, CDMX, Mexico</v>
      </c>
      <c r="N84" s="6" t="str">
        <f ca="1">IFERROR(__xludf.DUMMYFUNCTION("""COMPUTED_VALUE"""),"Hytera is a radio manufacturing company based in China but with projects across the world. The company took over Sepura, a designer and supplier of communications systems, which entered into a contract to provide TETRA, a more advanced radio system for Me"&amp;"xico City International Airport. The installation of the new system was completed successfully by the end of 2018, though it is unclear the costs required for this project. This not an official BRI-project because Mexico has not yet joined the BRI.")</f>
        <v>Hytera is a radio manufacturing company based in China but with projects across the world. The company took over Sepura, a designer and supplier of communications systems, which entered into a contract to provide TETRA, a more advanced radio system for Mexico City International Airport. The installation of the new system was completed successfully by the end of 2018, though it is unclear the costs required for this project. This not an official BRI-project because Mexico has not yet joined the BRI.</v>
      </c>
      <c r="O84" s="6" t="str">
        <f ca="1">IFERROR(__xludf.DUMMYFUNCTION("""COMPUTED_VALUE"""),"00/00/2018")</f>
        <v>00/00/2018</v>
      </c>
      <c r="P84" s="6" t="str">
        <f ca="1">IFERROR(__xludf.DUMMYFUNCTION("""COMPUTED_VALUE"""),"00/00/2018")</f>
        <v>00/00/2018</v>
      </c>
      <c r="Q84" s="6" t="str">
        <f ca="1">IFERROR(__xludf.DUMMYFUNCTION("""COMPUTED_VALUE"""),"Completed")</f>
        <v>Completed</v>
      </c>
      <c r="R84" s="6" t="str">
        <f ca="1">IFERROR(__xludf.DUMMYFUNCTION("""COMPUTED_VALUE"""),"AIRP")</f>
        <v>AIRP</v>
      </c>
      <c r="S84" s="9" t="str">
        <f ca="1">IFERROR(__xludf.DUMMYFUNCTION("""COMPUTED_VALUE"""),"https://gist.github.com/Remy2020/df0c42efc9620a4835aea96be2af3cf7")</f>
        <v>https://gist.github.com/Remy2020/df0c42efc9620a4835aea96be2af3cf7</v>
      </c>
      <c r="T84" s="6" t="str">
        <f ca="1">IFERROR(__xludf.DUMMYFUNCTION("""COMPUTED_VALUE"""),"AIRP")</f>
        <v>AIRP</v>
      </c>
      <c r="U84" s="6" t="str">
        <f ca="1">IFERROR(__xludf.DUMMYFUNCTION("""COMPUTED_VALUE"""),"Used google maps")</f>
        <v>Used google maps</v>
      </c>
      <c r="V84" s="6" t="str">
        <f ca="1">IFERROR(__xludf.DUMMYFUNCTION("""COMPUTED_VALUE"""),"Yes (Both)")</f>
        <v>Yes (Both)</v>
      </c>
      <c r="W84" s="6" t="str">
        <f ca="1">IFERROR(__xludf.DUMMYFUNCTION("""COMPUTED_VALUE"""),"Ciudad de Mexico")</f>
        <v>Ciudad de Mexico</v>
      </c>
      <c r="X84" s="6"/>
      <c r="Y84" s="6"/>
      <c r="Z84" s="6"/>
      <c r="AA84" s="6"/>
      <c r="AB84" s="6"/>
      <c r="AC84" s="6"/>
      <c r="AD84" s="6"/>
      <c r="AE84" s="6"/>
      <c r="AF84" s="6"/>
      <c r="AG84" s="6"/>
    </row>
    <row r="85" spans="1:33" ht="66" x14ac:dyDescent="0.25">
      <c r="A85" s="6">
        <f ca="1">IFERROR(__xludf.DUMMYFUNCTION("""COMPUTED_VALUE"""),89)</f>
        <v>89</v>
      </c>
      <c r="B85" s="6">
        <f ca="1">IFERROR(__xludf.DUMMYFUNCTION("""COMPUTED_VALUE"""),6)</f>
        <v>6</v>
      </c>
      <c r="C85" s="6" t="str">
        <f ca="1">IFERROR(__xludf.DUMMYFUNCTION("""COMPUTED_VALUE"""),"Red Compartida LTE Network")</f>
        <v>Red Compartida LTE Network</v>
      </c>
      <c r="D85" s="6" t="str">
        <f ca="1">IFERROR(__xludf.DUMMYFUNCTION("""COMPUTED_VALUE"""),"Other Chinese Institution")</f>
        <v>Other Chinese Institution</v>
      </c>
      <c r="E85" s="6" t="str">
        <f ca="1">IFERROR(__xludf.DUMMYFUNCTION("""COMPUTED_VALUE"""),"Atlan Redes, Mexican Government, Huawei")</f>
        <v>Atlan Redes, Mexican Government, Huawei</v>
      </c>
      <c r="F85" s="6" t="str">
        <f ca="1">IFERROR(__xludf.DUMMYFUNCTION("""COMPUTED_VALUE"""),"Atlan Redes")</f>
        <v>Atlan Redes</v>
      </c>
      <c r="G85" s="6">
        <f ca="1">IFERROR(__xludf.DUMMYFUNCTION("""COMPUTED_VALUE"""),7)</f>
        <v>7</v>
      </c>
      <c r="H85" s="6" t="str">
        <f ca="1">IFERROR(__xludf.DUMMYFUNCTION("""COMPUTED_VALUE"""),"Public Infrastructure, Telecommunications")</f>
        <v>Public Infrastructure, Telecommunications</v>
      </c>
      <c r="I85" s="6" t="str">
        <f ca="1">IFERROR(__xludf.DUMMYFUNCTION("""COMPUTED_VALUE"""),"Contract")</f>
        <v>Contract</v>
      </c>
      <c r="J85" s="6" t="str">
        <f ca="1">IFERROR(__xludf.DUMMYFUNCTION("""COMPUTED_VALUE"""),"N/A")</f>
        <v>N/A</v>
      </c>
      <c r="K85" s="6" t="str">
        <f ca="1">IFERROR(__xludf.DUMMYFUNCTION("""COMPUTED_VALUE"""),"MEX")</f>
        <v>MEX</v>
      </c>
      <c r="L85" s="6" t="str">
        <f ca="1">IFERROR(__xludf.DUMMYFUNCTION("""COMPUTED_VALUE"""),"Mexico")</f>
        <v>Mexico</v>
      </c>
      <c r="M85" s="6" t="str">
        <f ca="1">IFERROR(__xludf.DUMMYFUNCTION("""COMPUTED_VALUE"""),"Country-wide")</f>
        <v>Country-wide</v>
      </c>
      <c r="N85" s="6" t="str">
        <f ca="1">IFERROR(__xludf.DUMMYFUNCTION("""COMPUTED_VALUE"""),"As part of the IFC China-Mexico Fund, the Mexican government pushed for the construction of a countrywide LTE network. Atlan Redes was responsible for the construction of the network, but two major companies were designated to administer the networks, Hua"&amp;"wei in southern and central Mexico and Nokia in northern Mexico. However, Huawei was given contracts for multiple locations along the US border, raising concerns over US cybersecurity. This not an official BRI-project because Mexico has not yet joined the"&amp;" BRI.")</f>
        <v>As part of the IFC China-Mexico Fund, the Mexican government pushed for the construction of a countrywide LTE network. Atlan Redes was responsible for the construction of the network, but two major companies were designated to administer the networks, Huawei in southern and central Mexico and Nokia in northern Mexico. However, Huawei was given contracts for multiple locations along the US border, raising concerns over US cybersecurity. This not an official BRI-project because Mexico has not yet joined the BRI.</v>
      </c>
      <c r="O85" s="6" t="str">
        <f ca="1">IFERROR(__xludf.DUMMYFUNCTION("""COMPUTED_VALUE"""),"00/00/2014")</f>
        <v>00/00/2014</v>
      </c>
      <c r="P85" s="6" t="str">
        <f ca="1">IFERROR(__xludf.DUMMYFUNCTION("""COMPUTED_VALUE"""),"00/00/2016")</f>
        <v>00/00/2016</v>
      </c>
      <c r="Q85" s="6" t="str">
        <f ca="1">IFERROR(__xludf.DUMMYFUNCTION("""COMPUTED_VALUE"""),"Completed")</f>
        <v>Completed</v>
      </c>
      <c r="R85" s="6" t="str">
        <f ca="1">IFERROR(__xludf.DUMMYFUNCTION("""COMPUTED_VALUE"""),"PCLI")</f>
        <v>PCLI</v>
      </c>
      <c r="S85" s="6" t="str">
        <f ca="1">IFERROR(__xludf.DUMMYFUNCTION("""COMPUTED_VALUE"""),"MEX_ADM0_2_0_0_0")</f>
        <v>MEX_ADM0_2_0_0_0</v>
      </c>
      <c r="T85" s="6" t="str">
        <f ca="1">IFERROR(__xludf.DUMMYFUNCTION("""COMPUTED_VALUE"""),"PCLI")</f>
        <v>PCLI</v>
      </c>
      <c r="U85" s="6" t="str">
        <f ca="1">IFERROR(__xludf.DUMMYFUNCTION("""COMPUTED_VALUE"""),"Coded at the national level")</f>
        <v>Coded at the national level</v>
      </c>
      <c r="V85" s="6" t="str">
        <f ca="1">IFERROR(__xludf.DUMMYFUNCTION("""COMPUTED_VALUE"""),"No")</f>
        <v>No</v>
      </c>
      <c r="W85" s="6" t="str">
        <f ca="1">IFERROR(__xludf.DUMMYFUNCTION("""COMPUTED_VALUE"""),"NA")</f>
        <v>NA</v>
      </c>
      <c r="X85" s="6"/>
      <c r="Y85" s="6"/>
      <c r="Z85" s="6"/>
      <c r="AA85" s="6"/>
      <c r="AB85" s="6"/>
      <c r="AC85" s="6"/>
      <c r="AD85" s="6"/>
      <c r="AE85" s="6"/>
      <c r="AF85" s="6"/>
      <c r="AG85" s="6"/>
    </row>
    <row r="86" spans="1:33" ht="66" x14ac:dyDescent="0.25">
      <c r="A86" s="6">
        <f ca="1">IFERROR(__xludf.DUMMYFUNCTION("""COMPUTED_VALUE"""),90)</f>
        <v>90</v>
      </c>
      <c r="B86" s="6">
        <f ca="1">IFERROR(__xludf.DUMMYFUNCTION("""COMPUTED_VALUE"""),5)</f>
        <v>5</v>
      </c>
      <c r="C86" s="6" t="str">
        <f ca="1">IFERROR(__xludf.DUMMYFUNCTION("""COMPUTED_VALUE"""),"Progreso Wind Farm")</f>
        <v>Progreso Wind Farm</v>
      </c>
      <c r="D86" s="6" t="str">
        <f ca="1">IFERROR(__xludf.DUMMYFUNCTION("""COMPUTED_VALUE"""),"Other Chinese Institution")</f>
        <v>Other Chinese Institution</v>
      </c>
      <c r="E86" s="6" t="str">
        <f ca="1">IFERROR(__xludf.DUMMYFUNCTION("""COMPUTED_VALUE"""),"Envision Energy")</f>
        <v>Envision Energy</v>
      </c>
      <c r="F86" s="6" t="str">
        <f ca="1">IFERROR(__xludf.DUMMYFUNCTION("""COMPUTED_VALUE"""),"Renewable Energy of the Peninsula (conformed by Vive Energia and Envision Energy)")</f>
        <v>Renewable Energy of the Peninsula (conformed by Vive Energia and Envision Energy)</v>
      </c>
      <c r="G86" s="6">
        <f ca="1">IFERROR(__xludf.DUMMYFUNCTION("""COMPUTED_VALUE"""),10)</f>
        <v>10</v>
      </c>
      <c r="H86" s="6" t="str">
        <f ca="1">IFERROR(__xludf.DUMMYFUNCTION("""COMPUTED_VALUE"""),"Energy - sustainable")</f>
        <v>Energy - sustainable</v>
      </c>
      <c r="I86" s="6" t="str">
        <f ca="1">IFERROR(__xludf.DUMMYFUNCTION("""COMPUTED_VALUE"""),"Joint Venture, Investment")</f>
        <v>Joint Venture, Investment</v>
      </c>
      <c r="J86" s="7" t="str">
        <f ca="1">IFERROR(__xludf.DUMMYFUNCTION("""COMPUTED_VALUE"""),"$120,000,000 USD")</f>
        <v>$120,000,000 USD</v>
      </c>
      <c r="K86" s="6" t="str">
        <f ca="1">IFERROR(__xludf.DUMMYFUNCTION("""COMPUTED_VALUE"""),"MEX")</f>
        <v>MEX</v>
      </c>
      <c r="L86" s="6" t="str">
        <f ca="1">IFERROR(__xludf.DUMMYFUNCTION("""COMPUTED_VALUE"""),"Mexico")</f>
        <v>Mexico</v>
      </c>
      <c r="M86" s="6" t="str">
        <f ca="1">IFERROR(__xludf.DUMMYFUNCTION("""COMPUTED_VALUE"""),"Progreso, Yucatan, Mexico")</f>
        <v>Progreso, Yucatan, Mexico</v>
      </c>
      <c r="N86" s="6" t="str">
        <f ca="1">IFERROR(__xludf.DUMMYFUNCTION("""COMPUTED_VALUE"""),"A Chinese-Mexican joint-venture partnership has invested approximately $200 million to build two wind farms ($120 million for the Progreso wind farm). The partnership, called Renewable Energy of the Peninsula, is a joint-venture firm formed by Mexico's Vi"&amp;"ve Energia and China's Envision Energy. Of February 2020, 36 wind turbines will be installed on the site, of which 24 are operational. The 36, 120-meter-high wind turbines are expected to generate 90 megawatts of energy, with most of the energy scheduled "&amp;"to be sold to the Federal Electricity Commission (CFE). This not an official BRI-project because Mexico has not yet joined the BRI.")</f>
        <v>A Chinese-Mexican joint-venture partnership has invested approximately $200 million to build two wind farms ($120 million for the Progreso wind farm). The partnership, called Renewable Energy of the Peninsula, is a joint-venture firm formed by Mexico's Vive Energia and China's Envision Energy. Of February 2020, 36 wind turbines will be installed on the site, of which 24 are operational. The 36, 120-meter-high wind turbines are expected to generate 90 megawatts of energy, with most of the energy scheduled to be sold to the Federal Electricity Commission (CFE). This not an official BRI-project because Mexico has not yet joined the BRI.</v>
      </c>
      <c r="O86" s="6" t="str">
        <f ca="1">IFERROR(__xludf.DUMMYFUNCTION("""COMPUTED_VALUE"""),"05/00/2016")</f>
        <v>05/00/2016</v>
      </c>
      <c r="P86" s="6" t="str">
        <f ca="1">IFERROR(__xludf.DUMMYFUNCTION("""COMPUTED_VALUE"""),"N/A")</f>
        <v>N/A</v>
      </c>
      <c r="Q86" s="6" t="str">
        <f ca="1">IFERROR(__xludf.DUMMYFUNCTION("""COMPUTED_VALUE"""),"Under construction - on time")</f>
        <v>Under construction - on time</v>
      </c>
      <c r="R86" s="6" t="str">
        <f ca="1">IFERROR(__xludf.DUMMYFUNCTION("""COMPUTED_VALUE"""),"PS")</f>
        <v>PS</v>
      </c>
      <c r="S86" s="9" t="str">
        <f ca="1">IFERROR(__xludf.DUMMYFUNCTION("""COMPUTED_VALUE"""),"https://gist.github.com/Remy2020/39bcc8d95ce275cb33cdf3c60af73f11")</f>
        <v>https://gist.github.com/Remy2020/39bcc8d95ce275cb33cdf3c60af73f11</v>
      </c>
      <c r="T86" s="6" t="str">
        <f ca="1">IFERROR(__xludf.DUMMYFUNCTION("""COMPUTED_VALUE"""),"PS")</f>
        <v>PS</v>
      </c>
      <c r="U86" s="6" t="str">
        <f ca="1">IFERROR(__xludf.DUMMYFUNCTION("""COMPUTED_VALUE"""),"Used google maps and information found at: https://www.theyucatantimes.com/2020/01/progreso-wind-farm-will-start-operations-in-summer/")</f>
        <v>Used google maps and information found at: https://www.theyucatantimes.com/2020/01/progreso-wind-farm-will-start-operations-in-summer/</v>
      </c>
      <c r="V86" s="6" t="str">
        <f ca="1">IFERROR(__xludf.DUMMYFUNCTION("""COMPUTED_VALUE"""),"Yes (Both)")</f>
        <v>Yes (Both)</v>
      </c>
      <c r="W86" s="6" t="str">
        <f ca="1">IFERROR(__xludf.DUMMYFUNCTION("""COMPUTED_VALUE"""),"Yucatan")</f>
        <v>Yucatan</v>
      </c>
      <c r="X86" s="6"/>
      <c r="Y86" s="6"/>
      <c r="Z86" s="6"/>
      <c r="AA86" s="6"/>
      <c r="AB86" s="6"/>
      <c r="AC86" s="6"/>
      <c r="AD86" s="6"/>
      <c r="AE86" s="6"/>
      <c r="AF86" s="6"/>
      <c r="AG86" s="6"/>
    </row>
    <row r="87" spans="1:33" ht="52.8" x14ac:dyDescent="0.25">
      <c r="A87" s="6">
        <f ca="1">IFERROR(__xludf.DUMMYFUNCTION("""COMPUTED_VALUE"""),91)</f>
        <v>91</v>
      </c>
      <c r="B87" s="6">
        <f ca="1">IFERROR(__xludf.DUMMYFUNCTION("""COMPUTED_VALUE"""),3)</f>
        <v>3</v>
      </c>
      <c r="C87" s="6" t="str">
        <f ca="1">IFERROR(__xludf.DUMMYFUNCTION("""COMPUTED_VALUE"""),"WEPEC Oil donation")</f>
        <v>WEPEC Oil donation</v>
      </c>
      <c r="D87" s="6" t="str">
        <f ca="1">IFERROR(__xludf.DUMMYFUNCTION("""COMPUTED_VALUE"""),"Other Chinese Institution")</f>
        <v>Other Chinese Institution</v>
      </c>
      <c r="E87" s="6" t="str">
        <f ca="1">IFERROR(__xludf.DUMMYFUNCTION("""COMPUTED_VALUE"""),"West Pacific Petrochemical Corporation (WEPEC)")</f>
        <v>West Pacific Petrochemical Corporation (WEPEC)</v>
      </c>
      <c r="F87" s="6" t="str">
        <f ca="1">IFERROR(__xludf.DUMMYFUNCTION("""COMPUTED_VALUE"""),"N/A")</f>
        <v>N/A</v>
      </c>
      <c r="G87" s="6">
        <f ca="1">IFERROR(__xludf.DUMMYFUNCTION("""COMPUTED_VALUE"""),8)</f>
        <v>8</v>
      </c>
      <c r="H87" s="6" t="str">
        <f ca="1">IFERROR(__xludf.DUMMYFUNCTION("""COMPUTED_VALUE"""),"Energy - general")</f>
        <v>Energy - general</v>
      </c>
      <c r="I87" s="6" t="str">
        <f ca="1">IFERROR(__xludf.DUMMYFUNCTION("""COMPUTED_VALUE"""),"Donation")</f>
        <v>Donation</v>
      </c>
      <c r="J87" s="6" t="str">
        <f ca="1">IFERROR(__xludf.DUMMYFUNCTION("""COMPUTED_VALUE"""),"N/A")</f>
        <v>N/A</v>
      </c>
      <c r="K87" s="6" t="str">
        <f ca="1">IFERROR(__xludf.DUMMYFUNCTION("""COMPUTED_VALUE"""),"MEX")</f>
        <v>MEX</v>
      </c>
      <c r="L87" s="6" t="str">
        <f ca="1">IFERROR(__xludf.DUMMYFUNCTION("""COMPUTED_VALUE"""),"Mexico")</f>
        <v>Mexico</v>
      </c>
      <c r="M87" s="6" t="str">
        <f ca="1">IFERROR(__xludf.DUMMYFUNCTION("""COMPUTED_VALUE"""),"N/A")</f>
        <v>N/A</v>
      </c>
      <c r="N87" s="6" t="str">
        <f ca="1">IFERROR(__xludf.DUMMYFUNCTION("""COMPUTED_VALUE"""),"China's WEPEC is set to export 900,000 barrels of gasoline to Mexico in order to establish a more definitive oil market. The three 300,000 barrel shipments of lower-grade export fuel will be sent in the course of one month to Mexico. This donation is amid"&amp;"st Mexico's increasing need for importing fuels due to refinery problems in the country. This not an official BRI-project because Mexico has not yet joined the BRI.")</f>
        <v>China's WEPEC is set to export 900,000 barrels of gasoline to Mexico in order to establish a more definitive oil market. The three 300,000 barrel shipments of lower-grade export fuel will be sent in the course of one month to Mexico. This donation is amidst Mexico's increasing need for importing fuels due to refinery problems in the country. This not an official BRI-project because Mexico has not yet joined the BRI.</v>
      </c>
      <c r="O87" s="6" t="str">
        <f ca="1">IFERROR(__xludf.DUMMYFUNCTION("""COMPUTED_VALUE"""),"07/00/2019")</f>
        <v>07/00/2019</v>
      </c>
      <c r="P87" s="6" t="str">
        <f ca="1">IFERROR(__xludf.DUMMYFUNCTION("""COMPUTED_VALUE"""),"08/00/2019")</f>
        <v>08/00/2019</v>
      </c>
      <c r="Q87" s="6" t="str">
        <f ca="1">IFERROR(__xludf.DUMMYFUNCTION("""COMPUTED_VALUE"""),"Completed")</f>
        <v>Completed</v>
      </c>
      <c r="R87" s="6" t="str">
        <f ca="1">IFERROR(__xludf.DUMMYFUNCTION("""COMPUTED_VALUE"""),"UNM")</f>
        <v>UNM</v>
      </c>
      <c r="S87" s="6" t="str">
        <f ca="1">IFERROR(__xludf.DUMMYFUNCTION("""COMPUTED_VALUE"""),"N/A")</f>
        <v>N/A</v>
      </c>
      <c r="T87" s="6" t="str">
        <f ca="1">IFERROR(__xludf.DUMMYFUNCTION("""COMPUTED_VALUE"""),"UNM")</f>
        <v>UNM</v>
      </c>
      <c r="U87" s="6" t="str">
        <f ca="1">IFERROR(__xludf.DUMMYFUNCTION("""COMPUTED_VALUE"""),"Unmappable")</f>
        <v>Unmappable</v>
      </c>
      <c r="V87" s="6" t="str">
        <f ca="1">IFERROR(__xludf.DUMMYFUNCTION("""COMPUTED_VALUE"""),"No")</f>
        <v>No</v>
      </c>
      <c r="W87" s="6" t="str">
        <f ca="1">IFERROR(__xludf.DUMMYFUNCTION("""COMPUTED_VALUE"""),"NA")</f>
        <v>NA</v>
      </c>
      <c r="X87" s="6" t="str">
        <f ca="1">IFERROR(__xludf.DUMMYFUNCTION("""COMPUTED_VALUE"""),"N/A")</f>
        <v>N/A</v>
      </c>
      <c r="Y87" s="6" t="str">
        <f ca="1">IFERROR(__xludf.DUMMYFUNCTION("""COMPUTED_VALUE"""),"N/A")</f>
        <v>N/A</v>
      </c>
      <c r="Z87" s="6" t="str">
        <f ca="1">IFERROR(__xludf.DUMMYFUNCTION("""COMPUTED_VALUE"""),"N/A")</f>
        <v>N/A</v>
      </c>
      <c r="AA87" s="6"/>
      <c r="AB87" s="6"/>
      <c r="AC87" s="6"/>
      <c r="AD87" s="6"/>
      <c r="AE87" s="6"/>
      <c r="AF87" s="6"/>
      <c r="AG87" s="6"/>
    </row>
    <row r="88" spans="1:33" ht="79.2" x14ac:dyDescent="0.25">
      <c r="A88" s="6">
        <f ca="1">IFERROR(__xludf.DUMMYFUNCTION("""COMPUTED_VALUE"""),94)</f>
        <v>94</v>
      </c>
      <c r="B88" s="6">
        <f ca="1">IFERROR(__xludf.DUMMYFUNCTION("""COMPUTED_VALUE"""),3)</f>
        <v>3</v>
      </c>
      <c r="C88" s="6" t="str">
        <f ca="1">IFERROR(__xludf.DUMMYFUNCTION("""COMPUTED_VALUE"""),"CNOOC contract for offshore drilling")</f>
        <v>CNOOC contract for offshore drilling</v>
      </c>
      <c r="D88" s="6" t="str">
        <f ca="1">IFERROR(__xludf.DUMMYFUNCTION("""COMPUTED_VALUE"""),"Other Chinese Institution")</f>
        <v>Other Chinese Institution</v>
      </c>
      <c r="E88" s="6" t="str">
        <f ca="1">IFERROR(__xludf.DUMMYFUNCTION("""COMPUTED_VALUE"""),"Chinese National Offshore Oil Corporation")</f>
        <v>Chinese National Offshore Oil Corporation</v>
      </c>
      <c r="F88" s="6" t="str">
        <f ca="1">IFERROR(__xludf.DUMMYFUNCTION("""COMPUTED_VALUE"""),"N/A")</f>
        <v>N/A</v>
      </c>
      <c r="G88" s="6">
        <f ca="1">IFERROR(__xludf.DUMMYFUNCTION("""COMPUTED_VALUE"""),7)</f>
        <v>7</v>
      </c>
      <c r="H88" s="6" t="str">
        <f ca="1">IFERROR(__xludf.DUMMYFUNCTION("""COMPUTED_VALUE"""),"Refinery")</f>
        <v>Refinery</v>
      </c>
      <c r="I88" s="6" t="str">
        <f ca="1">IFERROR(__xludf.DUMMYFUNCTION("""COMPUTED_VALUE"""),"Contract")</f>
        <v>Contract</v>
      </c>
      <c r="J88" s="6" t="str">
        <f ca="1">IFERROR(__xludf.DUMMYFUNCTION("""COMPUTED_VALUE"""),"N/A")</f>
        <v>N/A</v>
      </c>
      <c r="K88" s="6" t="str">
        <f ca="1">IFERROR(__xludf.DUMMYFUNCTION("""COMPUTED_VALUE"""),"MEX")</f>
        <v>MEX</v>
      </c>
      <c r="L88" s="6" t="str">
        <f ca="1">IFERROR(__xludf.DUMMYFUNCTION("""COMPUTED_VALUE"""),"Mexico")</f>
        <v>Mexico</v>
      </c>
      <c r="M88" s="6" t="str">
        <f ca="1">IFERROR(__xludf.DUMMYFUNCTION("""COMPUTED_VALUE"""),"Block 1 and Block 4in the Gulf of Mexico's Cinuron Plegado Perdido (offshore segment of the Burgos geological province)")</f>
        <v>Block 1 and Block 4in the Gulf of Mexico's Cinuron Plegado Perdido (offshore segment of the Burgos geological province)</v>
      </c>
      <c r="N88" s="6" t="str">
        <f ca="1">IFERROR(__xludf.DUMMYFUNCTION("""COMPUTED_VALUE"""),"CNOOC has acquired two deepwater exploration blocks (Block 1 and Block 4) in the Gulf of Mexico for oil exploration. In 2017, CNOOC entered a 35 year contract for the exploration and and production of the block. Over the next few years, CNOOC will begin t"&amp;"o work on the offshore drilling sites in accordance with the contract. Each of the blocks are estimated to produce about 900,000 barrels of oil when at full capacity. This not an official BRI-project because Mexico has not yet joined the BRI.")</f>
        <v>CNOOC has acquired two deepwater exploration blocks (Block 1 and Block 4) in the Gulf of Mexico for oil exploration. In 2017, CNOOC entered a 35 year contract for the exploration and and production of the block. Over the next few years, CNOOC will begin to work on the offshore drilling sites in accordance with the contract. Each of the blocks are estimated to produce about 900,000 barrels of oil when at full capacity. This not an official BRI-project because Mexico has not yet joined the BRI.</v>
      </c>
      <c r="O88" s="12">
        <f ca="1">IFERROR(__xludf.DUMMYFUNCTION("""COMPUTED_VALUE"""),42707)</f>
        <v>42707</v>
      </c>
      <c r="P88" s="6" t="str">
        <f ca="1">IFERROR(__xludf.DUMMYFUNCTION("""COMPUTED_VALUE"""),"N/A")</f>
        <v>N/A</v>
      </c>
      <c r="Q88" s="6" t="str">
        <f ca="1">IFERROR(__xludf.DUMMYFUNCTION("""COMPUTED_VALUE"""),"Under construction - unknown")</f>
        <v>Under construction - unknown</v>
      </c>
      <c r="R88" s="6" t="str">
        <f ca="1">IFERROR(__xludf.DUMMYFUNCTION("""COMPUTED_VALUE"""),"OILF")</f>
        <v>OILF</v>
      </c>
      <c r="S88" s="6" t="str">
        <f ca="1">IFERROR(__xludf.DUMMYFUNCTION("""COMPUTED_VALUE"""),"Outside of range")</f>
        <v>Outside of range</v>
      </c>
      <c r="T88" s="6" t="str">
        <f ca="1">IFERROR(__xludf.DUMMYFUNCTION("""COMPUTED_VALUE"""),"OOR")</f>
        <v>OOR</v>
      </c>
      <c r="U88" s="6" t="str">
        <f ca="1">IFERROR(__xludf.DUMMYFUNCTION("""COMPUTED_VALUE"""),"Outside of range")</f>
        <v>Outside of range</v>
      </c>
      <c r="V88" s="6" t="str">
        <f ca="1">IFERROR(__xludf.DUMMYFUNCTION("""COMPUTED_VALUE"""),"No")</f>
        <v>No</v>
      </c>
      <c r="W88" s="6" t="str">
        <f ca="1">IFERROR(__xludf.DUMMYFUNCTION("""COMPUTED_VALUE"""),"NA")</f>
        <v>NA</v>
      </c>
      <c r="X88" s="6"/>
      <c r="Y88" s="6"/>
      <c r="Z88" s="6"/>
      <c r="AA88" s="6"/>
      <c r="AB88" s="6"/>
      <c r="AC88" s="6"/>
      <c r="AD88" s="6"/>
      <c r="AE88" s="6"/>
      <c r="AF88" s="6"/>
      <c r="AG88" s="6"/>
    </row>
    <row r="89" spans="1:33" ht="66" x14ac:dyDescent="0.25">
      <c r="A89" s="6">
        <f ca="1">IFERROR(__xludf.DUMMYFUNCTION("""COMPUTED_VALUE"""),95)</f>
        <v>95</v>
      </c>
      <c r="B89" s="6">
        <f ca="1">IFERROR(__xludf.DUMMYFUNCTION("""COMPUTED_VALUE"""),4)</f>
        <v>4</v>
      </c>
      <c r="C89" s="6" t="str">
        <f ca="1">IFERROR(__xludf.DUMMYFUNCTION("""COMPUTED_VALUE"""),"Rehabilitation of Sam Lord's Castle Hotel")</f>
        <v>Rehabilitation of Sam Lord's Castle Hotel</v>
      </c>
      <c r="D89" s="6" t="str">
        <f ca="1">IFERROR(__xludf.DUMMYFUNCTION("""COMPUTED_VALUE"""),"CHEXIM")</f>
        <v>CHEXIM</v>
      </c>
      <c r="E89" s="6" t="str">
        <f ca="1">IFERROR(__xludf.DUMMYFUNCTION("""COMPUTED_VALUE"""),"CHEXIM")</f>
        <v>CHEXIM</v>
      </c>
      <c r="F89" s="6" t="str">
        <f ca="1">IFERROR(__xludf.DUMMYFUNCTION("""COMPUTED_VALUE"""),"N/A")</f>
        <v>N/A</v>
      </c>
      <c r="G89" s="6">
        <f ca="1">IFERROR(__xludf.DUMMYFUNCTION("""COMPUTED_VALUE"""),4)</f>
        <v>4</v>
      </c>
      <c r="H89" s="6" t="str">
        <f ca="1">IFERROR(__xludf.DUMMYFUNCTION("""COMPUTED_VALUE"""),"Tourism")</f>
        <v>Tourism</v>
      </c>
      <c r="I89" s="6" t="str">
        <f ca="1">IFERROR(__xludf.DUMMYFUNCTION("""COMPUTED_VALUE"""),"Loan")</f>
        <v>Loan</v>
      </c>
      <c r="J89" s="6" t="str">
        <f ca="1">IFERROR(__xludf.DUMMYFUNCTION("""COMPUTED_VALUE"""),"$170,000,000 USD")</f>
        <v>$170,000,000 USD</v>
      </c>
      <c r="K89" s="6" t="str">
        <f ca="1">IFERROR(__xludf.DUMMYFUNCTION("""COMPUTED_VALUE"""),"BRB")</f>
        <v>BRB</v>
      </c>
      <c r="L89" s="6" t="str">
        <f ca="1">IFERROR(__xludf.DUMMYFUNCTION("""COMPUTED_VALUE"""),"Barbados")</f>
        <v>Barbados</v>
      </c>
      <c r="M89" s="6" t="str">
        <f ca="1">IFERROR(__xludf.DUMMYFUNCTION("""COMPUTED_VALUE"""),"Sam Lord's Castle Hotel, Barbados")</f>
        <v>Sam Lord's Castle Hotel, Barbados</v>
      </c>
      <c r="N89" s="6" t="str">
        <f ca="1">IFERROR(__xludf.DUMMYFUNCTION("""COMPUTED_VALUE"""),"The Export-Import Bank of China granted a USD $170 million dollar loan for the redevelopment of the Sam Lord's Castle in Barbados. The historical site/hotel had been left for ruin due to the Government's inability to fund its rehabilitation. With the loan"&amp;" from the Chinese government, The hotel will be renovated to accommodate tourists to the area and serve as a part of the Wyndham Grand Resort. Construction was supposed to start in 2016 and be finalized of 2018, however as of 2019 construction has not fin"&amp;"ished. picture of hotel at: https://thecaribbeancamera.com/sam-lords-castle-to-rise-again/")</f>
        <v>The Export-Import Bank of China granted a USD $170 million dollar loan for the redevelopment of the Sam Lord's Castle in Barbados. The historical site/hotel had been left for ruin due to the Government's inability to fund its rehabilitation. With the loan from the Chinese government, The hotel will be renovated to accommodate tourists to the area and serve as a part of the Wyndham Grand Resort. Construction was supposed to start in 2016 and be finalized of 2018, however as of 2019 construction has not finished. picture of hotel at: https://thecaribbeancamera.com/sam-lords-castle-to-rise-again/</v>
      </c>
      <c r="O89" s="6" t="str">
        <f ca="1">IFERROR(__xludf.DUMMYFUNCTION("""COMPUTED_VALUE"""),"11/00/2015")</f>
        <v>11/00/2015</v>
      </c>
      <c r="P89" s="6" t="str">
        <f ca="1">IFERROR(__xludf.DUMMYFUNCTION("""COMPUTED_VALUE"""),"N/A")</f>
        <v>N/A</v>
      </c>
      <c r="Q89" s="6" t="str">
        <f ca="1">IFERROR(__xludf.DUMMYFUNCTION("""COMPUTED_VALUE"""),"Under construction - delayed")</f>
        <v>Under construction - delayed</v>
      </c>
      <c r="R89" s="6" t="str">
        <f ca="1">IFERROR(__xludf.DUMMYFUNCTION("""COMPUTED_VALUE"""),"HTL")</f>
        <v>HTL</v>
      </c>
      <c r="S89" s="9" t="str">
        <f ca="1">IFERROR(__xludf.DUMMYFUNCTION("""COMPUTED_VALUE"""),"https://gist.github.com/micrittenden/464afbb19d368abac3a6792fa6006811")</f>
        <v>https://gist.github.com/micrittenden/464afbb19d368abac3a6792fa6006811</v>
      </c>
      <c r="T89" s="6" t="str">
        <f ca="1">IFERROR(__xludf.DUMMYFUNCTION("""COMPUTED_VALUE"""),"BLOB")</f>
        <v>BLOB</v>
      </c>
      <c r="U89" s="6" t="str">
        <f ca="1">IFERROR(__xludf.DUMMYFUNCTION("""COMPUTED_VALUE"""),"Used satellite imagery and followed google maps")</f>
        <v>Used satellite imagery and followed google maps</v>
      </c>
      <c r="V89" s="6" t="str">
        <f ca="1">IFERROR(__xludf.DUMMYFUNCTION("""COMPUTED_VALUE"""),"Yes (Both)")</f>
        <v>Yes (Both)</v>
      </c>
      <c r="W89" s="6" t="str">
        <f ca="1">IFERROR(__xludf.DUMMYFUNCTION("""COMPUTED_VALUE"""),"Saint Philip")</f>
        <v>Saint Philip</v>
      </c>
      <c r="X89" s="6"/>
      <c r="Y89" s="6"/>
      <c r="Z89" s="6"/>
      <c r="AA89" s="6"/>
      <c r="AB89" s="6"/>
      <c r="AC89" s="6"/>
      <c r="AD89" s="6"/>
      <c r="AE89" s="6"/>
      <c r="AF89" s="6"/>
      <c r="AG89" s="6"/>
    </row>
    <row r="90" spans="1:33" ht="52.8" x14ac:dyDescent="0.25">
      <c r="A90" s="6">
        <f ca="1">IFERROR(__xludf.DUMMYFUNCTION("""COMPUTED_VALUE"""),96)</f>
        <v>96</v>
      </c>
      <c r="B90" s="6">
        <f ca="1">IFERROR(__xludf.DUMMYFUNCTION("""COMPUTED_VALUE"""),3)</f>
        <v>3</v>
      </c>
      <c r="C90" s="6" t="str">
        <f ca="1">IFERROR(__xludf.DUMMYFUNCTION("""COMPUTED_VALUE"""),"Barbados MOU with China")</f>
        <v>Barbados MOU with China</v>
      </c>
      <c r="D90" s="6" t="str">
        <f ca="1">IFERROR(__xludf.DUMMYFUNCTION("""COMPUTED_VALUE"""),"Other Chinese Institution")</f>
        <v>Other Chinese Institution</v>
      </c>
      <c r="E90" s="6" t="str">
        <f ca="1">IFERROR(__xludf.DUMMYFUNCTION("""COMPUTED_VALUE"""),"N/A")</f>
        <v>N/A</v>
      </c>
      <c r="F90" s="6" t="str">
        <f ca="1">IFERROR(__xludf.DUMMYFUNCTION("""COMPUTED_VALUE"""),"N/A")</f>
        <v>N/A</v>
      </c>
      <c r="G90" s="6">
        <f ca="1">IFERROR(__xludf.DUMMYFUNCTION("""COMPUTED_VALUE"""),0)</f>
        <v>0</v>
      </c>
      <c r="H90" s="6" t="str">
        <f ca="1">IFERROR(__xludf.DUMMYFUNCTION("""COMPUTED_VALUE"""),"General")</f>
        <v>General</v>
      </c>
      <c r="I90" s="6" t="str">
        <f ca="1">IFERROR(__xludf.DUMMYFUNCTION("""COMPUTED_VALUE"""),"Proposal")</f>
        <v>Proposal</v>
      </c>
      <c r="J90" s="6" t="str">
        <f ca="1">IFERROR(__xludf.DUMMYFUNCTION("""COMPUTED_VALUE"""),"$0 USD")</f>
        <v>$0 USD</v>
      </c>
      <c r="K90" s="6" t="str">
        <f ca="1">IFERROR(__xludf.DUMMYFUNCTION("""COMPUTED_VALUE"""),"BRB")</f>
        <v>BRB</v>
      </c>
      <c r="L90" s="6" t="str">
        <f ca="1">IFERROR(__xludf.DUMMYFUNCTION("""COMPUTED_VALUE"""),"Barbados")</f>
        <v>Barbados</v>
      </c>
      <c r="M90" s="6" t="str">
        <f ca="1">IFERROR(__xludf.DUMMYFUNCTION("""COMPUTED_VALUE"""),"N/A")</f>
        <v>N/A</v>
      </c>
      <c r="N90" s="6" t="str">
        <f ca="1">IFERROR(__xludf.DUMMYFUNCTION("""COMPUTED_VALUE"""),"Barbados and the People's Republic of China signed a Memorandum of Understanding (MOU) agreeing to expand and deepen their relationship. Barbados signed that they will further help the implementation of the Belt and Road Initiative (BRI), specifically in "&amp;"infrastructure and transportation sectors. (Note: although there are no direct money amounts related to this activity, it is important because it is a written agreement for Barbados to help implement the BRI).")</f>
        <v>Barbados and the People's Republic of China signed a Memorandum of Understanding (MOU) agreeing to expand and deepen their relationship. Barbados signed that they will further help the implementation of the Belt and Road Initiative (BRI), specifically in infrastructure and transportation sectors. (Note: although there are no direct money amounts related to this activity, it is important because it is a written agreement for Barbados to help implement the BRI).</v>
      </c>
      <c r="O90" s="8">
        <f ca="1">IFERROR(__xludf.DUMMYFUNCTION("""COMPUTED_VALUE"""),43519)</f>
        <v>43519</v>
      </c>
      <c r="P90" s="8">
        <f ca="1">IFERROR(__xludf.DUMMYFUNCTION("""COMPUTED_VALUE"""),43519)</f>
        <v>43519</v>
      </c>
      <c r="Q90" s="6" t="str">
        <f ca="1">IFERROR(__xludf.DUMMYFUNCTION("""COMPUTED_VALUE"""),"Completed")</f>
        <v>Completed</v>
      </c>
      <c r="R90" s="6" t="str">
        <f ca="1">IFERROR(__xludf.DUMMYFUNCTION("""COMPUTED_VALUE"""),"UNM")</f>
        <v>UNM</v>
      </c>
      <c r="S90" s="6" t="str">
        <f ca="1">IFERROR(__xludf.DUMMYFUNCTION("""COMPUTED_VALUE"""),"N/A")</f>
        <v>N/A</v>
      </c>
      <c r="T90" s="6" t="str">
        <f ca="1">IFERROR(__xludf.DUMMYFUNCTION("""COMPUTED_VALUE"""),"UNM")</f>
        <v>UNM</v>
      </c>
      <c r="U90" s="6" t="str">
        <f ca="1">IFERROR(__xludf.DUMMYFUNCTION("""COMPUTED_VALUE"""),"Unmappable")</f>
        <v>Unmappable</v>
      </c>
      <c r="V90" s="6" t="str">
        <f ca="1">IFERROR(__xludf.DUMMYFUNCTION("""COMPUTED_VALUE"""),"No")</f>
        <v>No</v>
      </c>
      <c r="W90" s="6" t="str">
        <f ca="1">IFERROR(__xludf.DUMMYFUNCTION("""COMPUTED_VALUE"""),"NA")</f>
        <v>NA</v>
      </c>
      <c r="X90" s="6" t="str">
        <f ca="1">IFERROR(__xludf.DUMMYFUNCTION("""COMPUTED_VALUE"""),"N/A")</f>
        <v>N/A</v>
      </c>
      <c r="Y90" s="6" t="str">
        <f ca="1">IFERROR(__xludf.DUMMYFUNCTION("""COMPUTED_VALUE"""),"N/A")</f>
        <v>N/A</v>
      </c>
      <c r="Z90" s="6" t="str">
        <f ca="1">IFERROR(__xludf.DUMMYFUNCTION("""COMPUTED_VALUE"""),"N/A")</f>
        <v>N/A</v>
      </c>
      <c r="AA90" s="6"/>
      <c r="AB90" s="6"/>
      <c r="AC90" s="6"/>
      <c r="AD90" s="6"/>
      <c r="AE90" s="6"/>
      <c r="AF90" s="6"/>
      <c r="AG90" s="6"/>
    </row>
    <row r="91" spans="1:33" ht="92.4" x14ac:dyDescent="0.25">
      <c r="A91" s="6">
        <f ca="1">IFERROR(__xludf.DUMMYFUNCTION("""COMPUTED_VALUE"""),97)</f>
        <v>97</v>
      </c>
      <c r="B91" s="6">
        <f ca="1">IFERROR(__xludf.DUMMYFUNCTION("""COMPUTED_VALUE"""),4)</f>
        <v>4</v>
      </c>
      <c r="C91" s="6" t="str">
        <f ca="1">IFERROR(__xludf.DUMMYFUNCTION("""COMPUTED_VALUE"""),"Grantley Adams International Airport Expansion Proposal")</f>
        <v>Grantley Adams International Airport Expansion Proposal</v>
      </c>
      <c r="D91" s="6" t="str">
        <f ca="1">IFERROR(__xludf.DUMMYFUNCTION("""COMPUTED_VALUE"""),"CHEXIM")</f>
        <v>CHEXIM</v>
      </c>
      <c r="E91" s="6" t="str">
        <f ca="1">IFERROR(__xludf.DUMMYFUNCTION("""COMPUTED_VALUE"""),"CHEXIM")</f>
        <v>CHEXIM</v>
      </c>
      <c r="F91" s="6" t="str">
        <f ca="1">IFERROR(__xludf.DUMMYFUNCTION("""COMPUTED_VALUE"""),"China National Complete Plant Import &amp; Export Corporation Limited and Anhui Foreign Economic Construction Group (AFECC) ")</f>
        <v xml:space="preserve">China National Complete Plant Import &amp; Export Corporation Limited and Anhui Foreign Economic Construction Group (AFECC) </v>
      </c>
      <c r="G91" s="6">
        <f ca="1">IFERROR(__xludf.DUMMYFUNCTION("""COMPUTED_VALUE"""),1.3)</f>
        <v>1.3</v>
      </c>
      <c r="H91" s="6" t="str">
        <f ca="1">IFERROR(__xludf.DUMMYFUNCTION("""COMPUTED_VALUE"""),"Airport")</f>
        <v>Airport</v>
      </c>
      <c r="I91" s="6" t="str">
        <f ca="1">IFERROR(__xludf.DUMMYFUNCTION("""COMPUTED_VALUE"""),"Contract")</f>
        <v>Contract</v>
      </c>
      <c r="J91" s="6" t="str">
        <f ca="1">IFERROR(__xludf.DUMMYFUNCTION("""COMPUTED_VALUE"""),"N/A")</f>
        <v>N/A</v>
      </c>
      <c r="K91" s="6" t="str">
        <f ca="1">IFERROR(__xludf.DUMMYFUNCTION("""COMPUTED_VALUE"""),"BRB")</f>
        <v>BRB</v>
      </c>
      <c r="L91" s="6" t="str">
        <f ca="1">IFERROR(__xludf.DUMMYFUNCTION("""COMPUTED_VALUE"""),"Barbados")</f>
        <v>Barbados</v>
      </c>
      <c r="M91" s="6" t="str">
        <f ca="1">IFERROR(__xludf.DUMMYFUNCTION("""COMPUTED_VALUE"""),"Grantley Adams International Airport, Adams-Barrow, Gordon Cummins Hwy, Barbados")</f>
        <v>Grantley Adams International Airport, Adams-Barrow, Gordon Cummins Hwy, Barbados</v>
      </c>
      <c r="N91" s="6" t="str">
        <f ca="1">IFERROR(__xludf.DUMMYFUNCTION("""COMPUTED_VALUE"""),"Grantley Adams International Airport (GAIA) has signed a contract with two Chinese corporations, AFECC and COMPLANT for access to a loan facilitated by the Chinese EXIM Bank. This loan is for a future expansion effort of the airport terminal, airside pave"&amp;"ments, runway resurfacing, and a new control tower. This expansion effort is expected to increase passenger and aircraft capacity, thus increasing tourism to Barbados.")</f>
        <v>Grantley Adams International Airport (GAIA) has signed a contract with two Chinese corporations, AFECC and COMPLANT for access to a loan facilitated by the Chinese EXIM Bank. This loan is for a future expansion effort of the airport terminal, airside pavements, runway resurfacing, and a new control tower. This expansion effort is expected to increase passenger and aircraft capacity, thus increasing tourism to Barbados.</v>
      </c>
      <c r="O91" s="6" t="str">
        <f ca="1">IFERROR(__xludf.DUMMYFUNCTION("""COMPUTED_VALUE"""),"3/00/2016")</f>
        <v>3/00/2016</v>
      </c>
      <c r="P91" s="6" t="str">
        <f ca="1">IFERROR(__xludf.DUMMYFUNCTION("""COMPUTED_VALUE"""),"N/A")</f>
        <v>N/A</v>
      </c>
      <c r="Q91" s="6" t="str">
        <f ca="1">IFERROR(__xludf.DUMMYFUNCTION("""COMPUTED_VALUE"""),"Under construction - on time")</f>
        <v>Under construction - on time</v>
      </c>
      <c r="R91" s="6" t="str">
        <f ca="1">IFERROR(__xludf.DUMMYFUNCTION("""COMPUTED_VALUE"""),"AIRP")</f>
        <v>AIRP</v>
      </c>
      <c r="S91" s="9" t="str">
        <f ca="1">IFERROR(__xludf.DUMMYFUNCTION("""COMPUTED_VALUE"""),"https://gist.github.com/mayadeutchman/832d706f3b16bcf647b70b63ed19eb06")</f>
        <v>https://gist.github.com/mayadeutchman/832d706f3b16bcf647b70b63ed19eb06</v>
      </c>
      <c r="T91" s="6" t="str">
        <f ca="1">IFERROR(__xludf.DUMMYFUNCTION("""COMPUTED_VALUE"""),"BLOB")</f>
        <v>BLOB</v>
      </c>
      <c r="U91" s="6" t="str">
        <f ca="1">IFERROR(__xludf.DUMMYFUNCTION("""COMPUTED_VALUE"""),"Used satellite imagery and followed google maps")</f>
        <v>Used satellite imagery and followed google maps</v>
      </c>
      <c r="V91" s="6" t="str">
        <f ca="1">IFERROR(__xludf.DUMMYFUNCTION("""COMPUTED_VALUE"""),"Yes (Both)")</f>
        <v>Yes (Both)</v>
      </c>
      <c r="W91" s="6" t="str">
        <f ca="1">IFERROR(__xludf.DUMMYFUNCTION("""COMPUTED_VALUE"""),"Christ Church")</f>
        <v>Christ Church</v>
      </c>
      <c r="X91" s="6"/>
      <c r="Y91" s="6"/>
      <c r="Z91" s="6"/>
      <c r="AA91" s="6"/>
      <c r="AB91" s="6"/>
      <c r="AC91" s="6"/>
      <c r="AD91" s="6"/>
      <c r="AE91" s="6"/>
      <c r="AF91" s="6"/>
      <c r="AG91" s="6"/>
    </row>
    <row r="92" spans="1:33" ht="66" x14ac:dyDescent="0.25">
      <c r="A92" s="6">
        <f ca="1">IFERROR(__xludf.DUMMYFUNCTION("""COMPUTED_VALUE"""),98)</f>
        <v>98</v>
      </c>
      <c r="B92" s="6">
        <f ca="1">IFERROR(__xludf.DUMMYFUNCTION("""COMPUTED_VALUE"""),4)</f>
        <v>4</v>
      </c>
      <c r="C92" s="6" t="str">
        <f ca="1">IFERROR(__xludf.DUMMYFUNCTION("""COMPUTED_VALUE"""),"Dominica National Hospital")</f>
        <v>Dominica National Hospital</v>
      </c>
      <c r="D92" s="6" t="str">
        <f ca="1">IFERROR(__xludf.DUMMYFUNCTION("""COMPUTED_VALUE"""),"Other Chinese Institution")</f>
        <v>Other Chinese Institution</v>
      </c>
      <c r="E92" s="6" t="str">
        <f ca="1">IFERROR(__xludf.DUMMYFUNCTION("""COMPUTED_VALUE"""),"The Chinese Government ")</f>
        <v xml:space="preserve">The Chinese Government </v>
      </c>
      <c r="F92" s="6" t="str">
        <f ca="1">IFERROR(__xludf.DUMMYFUNCTION("""COMPUTED_VALUE"""),"HUNAN Construction Engineering Group Corporation of the People’s Republic of China")</f>
        <v>HUNAN Construction Engineering Group Corporation of the People’s Republic of China</v>
      </c>
      <c r="G92" s="6">
        <f ca="1">IFERROR(__xludf.DUMMYFUNCTION("""COMPUTED_VALUE"""),1.1)</f>
        <v>1.1000000000000001</v>
      </c>
      <c r="H92" s="6" t="str">
        <f ca="1">IFERROR(__xludf.DUMMYFUNCTION("""COMPUTED_VALUE"""),"Medical")</f>
        <v>Medical</v>
      </c>
      <c r="I92" s="6" t="str">
        <f ca="1">IFERROR(__xludf.DUMMYFUNCTION("""COMPUTED_VALUE"""),"Grant")</f>
        <v>Grant</v>
      </c>
      <c r="J92" s="6" t="str">
        <f ca="1">IFERROR(__xludf.DUMMYFUNCTION("""COMPUTED_VALUE"""),"$40,000,000 USD")</f>
        <v>$40,000,000 USD</v>
      </c>
      <c r="K92" s="6" t="str">
        <f ca="1">IFERROR(__xludf.DUMMYFUNCTION("""COMPUTED_VALUE"""),"DMA")</f>
        <v>DMA</v>
      </c>
      <c r="L92" s="6" t="str">
        <f ca="1">IFERROR(__xludf.DUMMYFUNCTION("""COMPUTED_VALUE"""),"Dominica")</f>
        <v>Dominica</v>
      </c>
      <c r="M92" s="6" t="str">
        <f ca="1">IFERROR(__xludf.DUMMYFUNCTION("""COMPUTED_VALUE"""),"Goodwill, Roseau, Dominica")</f>
        <v>Goodwill, Roseau, Dominica</v>
      </c>
      <c r="N92" s="6" t="str">
        <f ca="1">IFERROR(__xludf.DUMMYFUNCTION("""COMPUTED_VALUE"""),"The construction of the hospital by HUNAN forms part of the four-pillar projects agreed to in a Memorandum of Understanding (MOU) between the two governments when they re-established diplomatic relations in 2004. It is part of the Government of Dominica’s"&amp;" plan to advance the country’s healthcare system by increasing the quality of medical services and enhancing the capacity to deal with emerging health issues. It is built on the existing site of the Princess Margaret Hospital.")</f>
        <v>The construction of the hospital by HUNAN forms part of the four-pillar projects agreed to in a Memorandum of Understanding (MOU) between the two governments when they re-established diplomatic relations in 2004. It is part of the Government of Dominica’s plan to advance the country’s healthcare system by increasing the quality of medical services and enhancing the capacity to deal with emerging health issues. It is built on the existing site of the Princess Margaret Hospital.</v>
      </c>
      <c r="O92" s="11">
        <f ca="1">IFERROR(__xludf.DUMMYFUNCTION("""COMPUTED_VALUE"""),42590)</f>
        <v>42590</v>
      </c>
      <c r="P92" s="12">
        <f ca="1">IFERROR(__xludf.DUMMYFUNCTION("""COMPUTED_VALUE"""),43714)</f>
        <v>43714</v>
      </c>
      <c r="Q92" s="6" t="str">
        <f ca="1">IFERROR(__xludf.DUMMYFUNCTION("""COMPUTED_VALUE"""),"Completed")</f>
        <v>Completed</v>
      </c>
      <c r="R92" s="6" t="str">
        <f ca="1">IFERROR(__xludf.DUMMYFUNCTION("""COMPUTED_VALUE"""),"HSP")</f>
        <v>HSP</v>
      </c>
      <c r="S92" s="9" t="str">
        <f ca="1">IFERROR(__xludf.DUMMYFUNCTION("""COMPUTED_VALUE"""),"https://gist.github.com/Remy2020/c7ba708c9d8c88e9e147532a787aef49")</f>
        <v>https://gist.github.com/Remy2020/c7ba708c9d8c88e9e147532a787aef49</v>
      </c>
      <c r="T92" s="6" t="str">
        <f ca="1">IFERROR(__xludf.DUMMYFUNCTION("""COMPUTED_VALUE"""),"HSP")</f>
        <v>HSP</v>
      </c>
      <c r="U92" s="6" t="str">
        <f ca="1">IFERROR(__xludf.DUMMYFUNCTION("""COMPUTED_VALUE"""),"Use this source | https://dominicanewsonline.com/news/homepage/news/first-phase-of-new-national-hospital-to-be-completed-in-may-hospital-to-be-renamed/ | and followed google maps")</f>
        <v>Use this source | https://dominicanewsonline.com/news/homepage/news/first-phase-of-new-national-hospital-to-be-completed-in-may-hospital-to-be-renamed/ | and followed google maps</v>
      </c>
      <c r="V92" s="6" t="str">
        <f ca="1">IFERROR(__xludf.DUMMYFUNCTION("""COMPUTED_VALUE"""),"Yes (Both)")</f>
        <v>Yes (Both)</v>
      </c>
      <c r="W92" s="6" t="str">
        <f ca="1">IFERROR(__xludf.DUMMYFUNCTION("""COMPUTED_VALUE"""),"Saint George Parish")</f>
        <v>Saint George Parish</v>
      </c>
      <c r="X92" s="6"/>
      <c r="Y92" s="6"/>
      <c r="Z92" s="6"/>
      <c r="AA92" s="6"/>
      <c r="AB92" s="6"/>
      <c r="AC92" s="6"/>
      <c r="AD92" s="6"/>
      <c r="AE92" s="6"/>
      <c r="AF92" s="6"/>
      <c r="AG92" s="6"/>
    </row>
    <row r="93" spans="1:33" ht="52.8" x14ac:dyDescent="0.25">
      <c r="A93" s="6">
        <f ca="1">IFERROR(__xludf.DUMMYFUNCTION("""COMPUTED_VALUE"""),99)</f>
        <v>99</v>
      </c>
      <c r="B93" s="6">
        <f ca="1">IFERROR(__xludf.DUMMYFUNCTION("""COMPUTED_VALUE"""),3)</f>
        <v>3</v>
      </c>
      <c r="C93" s="6" t="str">
        <f ca="1">IFERROR(__xludf.DUMMYFUNCTION("""COMPUTED_VALUE"""),"York Valley Bridge")</f>
        <v>York Valley Bridge</v>
      </c>
      <c r="D93" s="6" t="str">
        <f ca="1">IFERROR(__xludf.DUMMYFUNCTION("""COMPUTED_VALUE"""),"Other Chinese Institution")</f>
        <v>Other Chinese Institution</v>
      </c>
      <c r="E93" s="6" t="str">
        <f ca="1">IFERROR(__xludf.DUMMYFUNCTION("""COMPUTED_VALUE"""),"The Chinese Government ")</f>
        <v xml:space="preserve">The Chinese Government </v>
      </c>
      <c r="F93" s="6" t="str">
        <f ca="1">IFERROR(__xludf.DUMMYFUNCTION("""COMPUTED_VALUE"""),"China Railway 14th Bureau Group Corporation Limited ")</f>
        <v xml:space="preserve">China Railway 14th Bureau Group Corporation Limited </v>
      </c>
      <c r="G93" s="6">
        <f ca="1">IFERROR(__xludf.DUMMYFUNCTION("""COMPUTED_VALUE"""),4)</f>
        <v>4</v>
      </c>
      <c r="H93" s="6" t="str">
        <f ca="1">IFERROR(__xludf.DUMMYFUNCTION("""COMPUTED_VALUE"""),"Bridge")</f>
        <v>Bridge</v>
      </c>
      <c r="I93" s="6" t="str">
        <f ca="1">IFERROR(__xludf.DUMMYFUNCTION("""COMPUTED_VALUE"""),"Grant")</f>
        <v>Grant</v>
      </c>
      <c r="J93" s="6" t="str">
        <f ca="1">IFERROR(__xludf.DUMMYFUNCTION("""COMPUTED_VALUE"""),"$12,000,000 USD")</f>
        <v>$12,000,000 USD</v>
      </c>
      <c r="K93" s="6" t="str">
        <f ca="1">IFERROR(__xludf.DUMMYFUNCTION("""COMPUTED_VALUE"""),"DMA")</f>
        <v>DMA</v>
      </c>
      <c r="L93" s="6" t="str">
        <f ca="1">IFERROR(__xludf.DUMMYFUNCTION("""COMPUTED_VALUE"""),"Dominica")</f>
        <v>Dominica</v>
      </c>
      <c r="M93" s="6" t="str">
        <f ca="1">IFERROR(__xludf.DUMMYFUNCTION("""COMPUTED_VALUE"""),"York Valley bridge, Layou, Dominica")</f>
        <v>York Valley bridge, Layou, Dominica</v>
      </c>
      <c r="N93" s="6" t="str">
        <f ca="1">IFERROR(__xludf.DUMMYFUNCTION("""COMPUTED_VALUE"""),"The bridge was severely damaged following the collapse of the Matthieu Dam in July 2011 and the government of the People’s Republic of China funded its reconstruction. The scheduled completion of the bridge was delayed due to Hurricane Maria, but was comp"&amp;"leted a year later by the China Railway 14th Bureau Group Corporation Ltd. The bridge acts as a passage to the other side of the York Valley river and symbolizes ""deep friendship"" between the two countries.")</f>
        <v>The bridge was severely damaged following the collapse of the Matthieu Dam in July 2011 and the government of the People’s Republic of China funded its reconstruction. The scheduled completion of the bridge was delayed due to Hurricane Maria, but was completed a year later by the China Railway 14th Bureau Group Corporation Ltd. The bridge acts as a passage to the other side of the York Valley river and symbolizes "deep friendship" between the two countries.</v>
      </c>
      <c r="O93" s="15">
        <f ca="1">IFERROR(__xludf.DUMMYFUNCTION("""COMPUTED_VALUE"""),42640)</f>
        <v>42640</v>
      </c>
      <c r="P93" s="12">
        <f ca="1">IFERROR(__xludf.DUMMYFUNCTION("""COMPUTED_VALUE"""),43262)</f>
        <v>43262</v>
      </c>
      <c r="Q93" s="6" t="str">
        <f ca="1">IFERROR(__xludf.DUMMYFUNCTION("""COMPUTED_VALUE"""),"Completed")</f>
        <v>Completed</v>
      </c>
      <c r="R93" s="6" t="str">
        <f ca="1">IFERROR(__xludf.DUMMYFUNCTION("""COMPUTED_VALUE"""),"BDG")</f>
        <v>BDG</v>
      </c>
      <c r="S93" s="9" t="str">
        <f ca="1">IFERROR(__xludf.DUMMYFUNCTION("""COMPUTED_VALUE"""),"https://gist.github.com/Remy2020/4f33149dd061d579e999abad9c7cafb3")</f>
        <v>https://gist.github.com/Remy2020/4f33149dd061d579e999abad9c7cafb3</v>
      </c>
      <c r="T93" s="6" t="str">
        <f ca="1">IFERROR(__xludf.DUMMYFUNCTION("""COMPUTED_VALUE"""),"BLOB")</f>
        <v>BLOB</v>
      </c>
      <c r="U93" s="6" t="str">
        <f ca="1">IFERROR(__xludf.DUMMYFUNCTION("""COMPUTED_VALUE"""),"Used sources and folllowed google maps")</f>
        <v>Used sources and folllowed google maps</v>
      </c>
      <c r="V93" s="6" t="str">
        <f ca="1">IFERROR(__xludf.DUMMYFUNCTION("""COMPUTED_VALUE"""),"Yes (Both)")</f>
        <v>Yes (Both)</v>
      </c>
      <c r="W93" s="6" t="str">
        <f ca="1">IFERROR(__xludf.DUMMYFUNCTION("""COMPUTED_VALUE"""),"Saint Joseph Parish")</f>
        <v>Saint Joseph Parish</v>
      </c>
      <c r="X93" s="6"/>
      <c r="Y93" s="6"/>
      <c r="Z93" s="6"/>
      <c r="AA93" s="6"/>
      <c r="AB93" s="6"/>
      <c r="AC93" s="6"/>
      <c r="AD93" s="6"/>
      <c r="AE93" s="6"/>
      <c r="AF93" s="6"/>
      <c r="AG93" s="6"/>
    </row>
    <row r="94" spans="1:33" ht="39.6" x14ac:dyDescent="0.25">
      <c r="A94" s="6">
        <f ca="1">IFERROR(__xludf.DUMMYFUNCTION("""COMPUTED_VALUE"""),100)</f>
        <v>100</v>
      </c>
      <c r="B94" s="6">
        <f ca="1">IFERROR(__xludf.DUMMYFUNCTION("""COMPUTED_VALUE"""),4)</f>
        <v>4</v>
      </c>
      <c r="C94" s="6" t="str">
        <f ca="1">IFERROR(__xludf.DUMMYFUNCTION("""COMPUTED_VALUE"""),"West Coast Road Rehibilitation Project")</f>
        <v>West Coast Road Rehibilitation Project</v>
      </c>
      <c r="D94" s="6" t="str">
        <f ca="1">IFERROR(__xludf.DUMMYFUNCTION("""COMPUTED_VALUE"""),"Other Chinese Institution")</f>
        <v>Other Chinese Institution</v>
      </c>
      <c r="E94" s="6" t="str">
        <f ca="1">IFERROR(__xludf.DUMMYFUNCTION("""COMPUTED_VALUE"""),"The Chinese Government")</f>
        <v>The Chinese Government</v>
      </c>
      <c r="F94" s="6" t="str">
        <f ca="1">IFERROR(__xludf.DUMMYFUNCTION("""COMPUTED_VALUE"""),"Qingdao Construction Group")</f>
        <v>Qingdao Construction Group</v>
      </c>
      <c r="G94" s="6">
        <f ca="1">IFERROR(__xludf.DUMMYFUNCTION("""COMPUTED_VALUE"""),1.1)</f>
        <v>1.1000000000000001</v>
      </c>
      <c r="H94" s="6" t="str">
        <f ca="1">IFERROR(__xludf.DUMMYFUNCTION("""COMPUTED_VALUE"""),"Road")</f>
        <v>Road</v>
      </c>
      <c r="I94" s="6" t="str">
        <f ca="1">IFERROR(__xludf.DUMMYFUNCTION("""COMPUTED_VALUE"""),"Grant")</f>
        <v>Grant</v>
      </c>
      <c r="J94" s="6" t="str">
        <f ca="1">IFERROR(__xludf.DUMMYFUNCTION("""COMPUTED_VALUE"""),"$51,300,000 USD")</f>
        <v>$51,300,000 USD</v>
      </c>
      <c r="K94" s="6" t="str">
        <f ca="1">IFERROR(__xludf.DUMMYFUNCTION("""COMPUTED_VALUE"""),"DMA")</f>
        <v>DMA</v>
      </c>
      <c r="L94" s="6" t="str">
        <f ca="1">IFERROR(__xludf.DUMMYFUNCTION("""COMPUTED_VALUE"""),"Dominica")</f>
        <v>Dominica</v>
      </c>
      <c r="M94" s="6" t="str">
        <f ca="1">IFERROR(__xludf.DUMMYFUNCTION("""COMPUTED_VALUE"""),"Portsmouth to Roseau, E.O Leblanc Highway, West Coast, Dominica")</f>
        <v>Portsmouth to Roseau, E.O Leblanc Highway, West Coast, Dominica</v>
      </c>
      <c r="N94" s="6" t="str">
        <f ca="1">IFERROR(__xludf.DUMMYFUNCTION("""COMPUTED_VALUE"""),"West Coast Road, or also known as the E.O Leblanc highway. The approximately $51.3 million USD project will cover rehabilitation of identified damaged areas along the 45 kilometers of the E.O Leblanc highway, as a gift from the government of the People's "&amp;"Republic of China. The road is important for the commercial and economic development of Dominica as it connects Roseau to Portsmouth.")</f>
        <v>West Coast Road, or also known as the E.O Leblanc highway. The approximately $51.3 million USD project will cover rehabilitation of identified damaged areas along the 45 kilometers of the E.O Leblanc highway, as a gift from the government of the People's Republic of China. The road is important for the commercial and economic development of Dominica as it connects Roseau to Portsmouth.</v>
      </c>
      <c r="O94" s="15">
        <f ca="1">IFERROR(__xludf.DUMMYFUNCTION("""COMPUTED_VALUE"""),42948)</f>
        <v>42948</v>
      </c>
      <c r="P94" s="6" t="str">
        <f ca="1">IFERROR(__xludf.DUMMYFUNCTION("""COMPUTED_VALUE"""),"N/A")</f>
        <v>N/A</v>
      </c>
      <c r="Q94" s="6" t="str">
        <f ca="1">IFERROR(__xludf.DUMMYFUNCTION("""COMPUTED_VALUE"""),"Under construction - on time")</f>
        <v>Under construction - on time</v>
      </c>
      <c r="R94" s="6" t="str">
        <f ca="1">IFERROR(__xludf.DUMMYFUNCTION("""COMPUTED_VALUE"""),"RD")</f>
        <v>RD</v>
      </c>
      <c r="S94" s="9" t="str">
        <f ca="1">IFERROR(__xludf.DUMMYFUNCTION("""COMPUTED_VALUE"""),"https://gist.github.com/mayadeutchman/c481e06e5cd406c92a5bd704a433ca24")</f>
        <v>https://gist.github.com/mayadeutchman/c481e06e5cd406c92a5bd704a433ca24</v>
      </c>
      <c r="T94" s="6" t="str">
        <f ca="1">IFERROR(__xludf.DUMMYFUNCTION("""COMPUTED_VALUE"""),"BLOB")</f>
        <v>BLOB</v>
      </c>
      <c r="U94" s="6" t="str">
        <f ca="1">IFERROR(__xludf.DUMMYFUNCTION("""COMPUTED_VALUE"""),"Used satellite imagery and followed google maps")</f>
        <v>Used satellite imagery and followed google maps</v>
      </c>
      <c r="V94" s="6" t="str">
        <f ca="1">IFERROR(__xludf.DUMMYFUNCTION("""COMPUTED_VALUE"""),"No")</f>
        <v>No</v>
      </c>
      <c r="W94" s="6" t="str">
        <f ca="1">IFERROR(__xludf.DUMMYFUNCTION("""COMPUTED_VALUE"""),"NA")</f>
        <v>NA</v>
      </c>
      <c r="X94" s="6"/>
      <c r="Y94" s="6"/>
      <c r="Z94" s="6"/>
      <c r="AA94" s="6"/>
      <c r="AB94" s="6"/>
      <c r="AC94" s="6"/>
      <c r="AD94" s="6"/>
      <c r="AE94" s="6"/>
      <c r="AF94" s="6"/>
      <c r="AG94" s="6"/>
    </row>
    <row r="95" spans="1:33" ht="52.8" x14ac:dyDescent="0.25">
      <c r="A95" s="6">
        <f ca="1">IFERROR(__xludf.DUMMYFUNCTION("""COMPUTED_VALUE"""),101)</f>
        <v>101</v>
      </c>
      <c r="B95" s="6">
        <f ca="1">IFERROR(__xludf.DUMMYFUNCTION("""COMPUTED_VALUE"""),3)</f>
        <v>3</v>
      </c>
      <c r="C95" s="6" t="str">
        <f ca="1">IFERROR(__xludf.DUMMYFUNCTION("""COMPUTED_VALUE"""),"YIDA Project")</f>
        <v>YIDA Project</v>
      </c>
      <c r="D95" s="6" t="str">
        <f ca="1">IFERROR(__xludf.DUMMYFUNCTION("""COMPUTED_VALUE"""),"Other Chinese Institution")</f>
        <v>Other Chinese Institution</v>
      </c>
      <c r="E95" s="6" t="str">
        <f ca="1">IFERROR(__xludf.DUMMYFUNCTION("""COMPUTED_VALUE"""),"Yida International")</f>
        <v>Yida International</v>
      </c>
      <c r="F95" s="6" t="str">
        <f ca="1">IFERROR(__xludf.DUMMYFUNCTION("""COMPUTED_VALUE"""),"Government of Antigua and Barbuda")</f>
        <v>Government of Antigua and Barbuda</v>
      </c>
      <c r="G95" s="6">
        <f ca="1">IFERROR(__xludf.DUMMYFUNCTION("""COMPUTED_VALUE"""),3)</f>
        <v>3</v>
      </c>
      <c r="H95" s="6" t="str">
        <f ca="1">IFERROR(__xludf.DUMMYFUNCTION("""COMPUTED_VALUE"""),"Residential")</f>
        <v>Residential</v>
      </c>
      <c r="I95" s="6" t="str">
        <f ca="1">IFERROR(__xludf.DUMMYFUNCTION("""COMPUTED_VALUE"""),"Investment")</f>
        <v>Investment</v>
      </c>
      <c r="J95" s="6" t="str">
        <f ca="1">IFERROR(__xludf.DUMMYFUNCTION("""COMPUTED_VALUE"""),"$740,000,000 USD")</f>
        <v>$740,000,000 USD</v>
      </c>
      <c r="K95" s="6" t="str">
        <f ca="1">IFERROR(__xludf.DUMMYFUNCTION("""COMPUTED_VALUE"""),"ATG")</f>
        <v>ATG</v>
      </c>
      <c r="L95" s="6" t="str">
        <f ca="1">IFERROR(__xludf.DUMMYFUNCTION("""COMPUTED_VALUE"""),"Antigua and Barbuda")</f>
        <v>Antigua and Barbuda</v>
      </c>
      <c r="M95" s="6" t="str">
        <f ca="1">IFERROR(__xludf.DUMMYFUNCTION("""COMPUTED_VALUE"""),"Guiana Island, Antigua as well as the Crump Peninsula")</f>
        <v>Guiana Island, Antigua as well as the Crump Peninsula</v>
      </c>
      <c r="N95" s="6" t="str">
        <f ca="1">IFERROR(__xludf.DUMMYFUNCTION("""COMPUTED_VALUE"""),"The Government of Antigua and Barbuda signed for a USD $740 million loan to construct a mixed-tourism project on the entire island of Guiana. The Projects aim is to construct 5 star hotels, 1,300 residential units, a casino, a conference center, a 27-hole"&amp;" golf course, a marina, and a commercial/sports facility on the island. The YIDA project will give YIDA the opportunity to increase Chinese cargo, traffic, and jobs in Antigua.")</f>
        <v>The Government of Antigua and Barbuda signed for a USD $740 million loan to construct a mixed-tourism project on the entire island of Guiana. The Projects aim is to construct 5 star hotels, 1,300 residential units, a casino, a conference center, a 27-hole golf course, a marina, and a commercial/sports facility on the island. The YIDA project will give YIDA the opportunity to increase Chinese cargo, traffic, and jobs in Antigua.</v>
      </c>
      <c r="O95" s="6" t="str">
        <f ca="1">IFERROR(__xludf.DUMMYFUNCTION("""COMPUTED_VALUE"""),"06/00/2014")</f>
        <v>06/00/2014</v>
      </c>
      <c r="P95" s="6" t="str">
        <f ca="1">IFERROR(__xludf.DUMMYFUNCTION("""COMPUTED_VALUE"""),"N/A")</f>
        <v>N/A</v>
      </c>
      <c r="Q95" s="6" t="str">
        <f ca="1">IFERROR(__xludf.DUMMYFUNCTION("""COMPUTED_VALUE"""),"Under construction - on time")</f>
        <v>Under construction - on time</v>
      </c>
      <c r="R95" s="6" t="str">
        <f ca="1">IFERROR(__xludf.DUMMYFUNCTION("""COMPUTED_VALUE"""),"PCLI")</f>
        <v>PCLI</v>
      </c>
      <c r="S95" s="6" t="str">
        <f ca="1">IFERROR(__xludf.DUMMYFUNCTION("""COMPUTED_VALUE"""),"ATG_ADM0_2_0_0_0")</f>
        <v>ATG_ADM0_2_0_0_0</v>
      </c>
      <c r="T95" s="6" t="str">
        <f ca="1">IFERROR(__xludf.DUMMYFUNCTION("""COMPUTED_VALUE"""),"PCLI")</f>
        <v>PCLI</v>
      </c>
      <c r="U95" s="6" t="str">
        <f ca="1">IFERROR(__xludf.DUMMYFUNCTION("""COMPUTED_VALUE"""),"Coded up to country level because this activity occurs in various locations across Antigua and Barbados")</f>
        <v>Coded up to country level because this activity occurs in various locations across Antigua and Barbados</v>
      </c>
      <c r="V95" s="6" t="str">
        <f ca="1">IFERROR(__xludf.DUMMYFUNCTION("""COMPUTED_VALUE"""),"No")</f>
        <v>No</v>
      </c>
      <c r="W95" s="6" t="str">
        <f ca="1">IFERROR(__xludf.DUMMYFUNCTION("""COMPUTED_VALUE"""),"NA")</f>
        <v>NA</v>
      </c>
      <c r="X95" s="6"/>
      <c r="Y95" s="6"/>
      <c r="Z95" s="6"/>
      <c r="AA95" s="6"/>
      <c r="AB95" s="6"/>
      <c r="AC95" s="6"/>
      <c r="AD95" s="6"/>
      <c r="AE95" s="6"/>
      <c r="AF95" s="6"/>
      <c r="AG95" s="6"/>
    </row>
    <row r="96" spans="1:33" ht="92.4" x14ac:dyDescent="0.25">
      <c r="A96" s="6">
        <f ca="1">IFERROR(__xludf.DUMMYFUNCTION("""COMPUTED_VALUE"""),102)</f>
        <v>102</v>
      </c>
      <c r="B96" s="6">
        <f ca="1">IFERROR(__xludf.DUMMYFUNCTION("""COMPUTED_VALUE"""),3)</f>
        <v>3</v>
      </c>
      <c r="C96" s="6" t="str">
        <f ca="1">IFERROR(__xludf.DUMMYFUNCTION("""COMPUTED_VALUE"""),"Five Islands Secondary School - University College Antigua Project")</f>
        <v>Five Islands Secondary School - University College Antigua Project</v>
      </c>
      <c r="D96" s="6" t="str">
        <f ca="1">IFERROR(__xludf.DUMMYFUNCTION("""COMPUTED_VALUE"""),"Other Chinese Institution")</f>
        <v>Other Chinese Institution</v>
      </c>
      <c r="E96" s="6" t="str">
        <f ca="1">IFERROR(__xludf.DUMMYFUNCTION("""COMPUTED_VALUE"""),"Government of China and the China Civil Engineering Construction Corporation (CCECC)")</f>
        <v>Government of China and the China Civil Engineering Construction Corporation (CCECC)</v>
      </c>
      <c r="F96" s="6" t="str">
        <f ca="1">IFERROR(__xludf.DUMMYFUNCTION("""COMPUTED_VALUE"""),"N/A")</f>
        <v>N/A</v>
      </c>
      <c r="G96" s="6">
        <f ca="1">IFERROR(__xludf.DUMMYFUNCTION("""COMPUTED_VALUE"""),4)</f>
        <v>4</v>
      </c>
      <c r="H96" s="6" t="str">
        <f ca="1">IFERROR(__xludf.DUMMYFUNCTION("""COMPUTED_VALUE"""),"Public Infrastructure")</f>
        <v>Public Infrastructure</v>
      </c>
      <c r="I96" s="6" t="str">
        <f ca="1">IFERROR(__xludf.DUMMYFUNCTION("""COMPUTED_VALUE"""),"Grant")</f>
        <v>Grant</v>
      </c>
      <c r="J96" s="6" t="str">
        <f ca="1">IFERROR(__xludf.DUMMYFUNCTION("""COMPUTED_VALUE"""),"$4,900,000 USD")</f>
        <v>$4,900,000 USD</v>
      </c>
      <c r="K96" s="6" t="str">
        <f ca="1">IFERROR(__xludf.DUMMYFUNCTION("""COMPUTED_VALUE"""),"ATG")</f>
        <v>ATG</v>
      </c>
      <c r="L96" s="6" t="str">
        <f ca="1">IFERROR(__xludf.DUMMYFUNCTION("""COMPUTED_VALUE"""),"Antigua and Barbuda")</f>
        <v>Antigua and Barbuda</v>
      </c>
      <c r="M96" s="6" t="str">
        <f ca="1">IFERROR(__xludf.DUMMYFUNCTION("""COMPUTED_VALUE"""),"Five Islands Primary School, Five Islands village, Antigua &amp; Barbuda")</f>
        <v>Five Islands Primary School, Five Islands village, Antigua &amp; Barbuda</v>
      </c>
      <c r="N96" s="6" t="str">
        <f ca="1">IFERROR(__xludf.DUMMYFUNCTION("""COMPUTED_VALUE"""),"Prime Minister Gaston Browne informed the CCECC of Antigua's interest in expanding the Five Islands Secondary School into the University College Antigua. The Chinese Government provided US $4.9 million in grants for expansion of the secondary school. The "&amp;"Grant is expected to increase the size of the school to accommodate 750 students with classrooms, a gymnasium, music room, and information technology/science laboratories. ")</f>
        <v xml:space="preserve">Prime Minister Gaston Browne informed the CCECC of Antigua's interest in expanding the Five Islands Secondary School into the University College Antigua. The Chinese Government provided US $4.9 million in grants for expansion of the secondary school. The Grant is expected to increase the size of the school to accommodate 750 students with classrooms, a gymnasium, music room, and information technology/science laboratories. </v>
      </c>
      <c r="O96" s="8">
        <f ca="1">IFERROR(__xludf.DUMMYFUNCTION("""COMPUTED_VALUE"""),41595)</f>
        <v>41595</v>
      </c>
      <c r="P96" s="6" t="str">
        <f ca="1">IFERROR(__xludf.DUMMYFUNCTION("""COMPUTED_VALUE"""),"00/00/2016")</f>
        <v>00/00/2016</v>
      </c>
      <c r="Q96" s="6" t="str">
        <f ca="1">IFERROR(__xludf.DUMMYFUNCTION("""COMPUTED_VALUE"""),"Completed")</f>
        <v>Completed</v>
      </c>
      <c r="R96" s="6" t="str">
        <f ca="1">IFERROR(__xludf.DUMMYFUNCTION("""COMPUTED_VALUE"""),"SCH")</f>
        <v>SCH</v>
      </c>
      <c r="S96" s="9" t="str">
        <f ca="1">IFERROR(__xludf.DUMMYFUNCTION("""COMPUTED_VALUE"""),"https://gist.github.com/mayadeutchman/ec5dcace960d8dca666c023b00523ee6")</f>
        <v>https://gist.github.com/mayadeutchman/ec5dcace960d8dca666c023b00523ee6</v>
      </c>
      <c r="T96" s="6" t="str">
        <f ca="1">IFERROR(__xludf.DUMMYFUNCTION("""COMPUTED_VALUE"""),"BLOB")</f>
        <v>BLOB</v>
      </c>
      <c r="U96" s="6" t="str">
        <f ca="1">IFERROR(__xludf.DUMMYFUNCTION("""COMPUTED_VALUE"""),"Used satellite imagery and followed google maps")</f>
        <v>Used satellite imagery and followed google maps</v>
      </c>
      <c r="V96" s="6" t="str">
        <f ca="1">IFERROR(__xludf.DUMMYFUNCTION("""COMPUTED_VALUE"""),"Yes (Both)")</f>
        <v>Yes (Both)</v>
      </c>
      <c r="W96" s="6" t="str">
        <f ca="1">IFERROR(__xludf.DUMMYFUNCTION("""COMPUTED_VALUE"""),"Saint John")</f>
        <v>Saint John</v>
      </c>
      <c r="X96" s="6"/>
      <c r="Y96" s="6"/>
      <c r="Z96" s="6"/>
      <c r="AA96" s="6"/>
      <c r="AB96" s="6"/>
      <c r="AC96" s="6"/>
      <c r="AD96" s="6"/>
      <c r="AE96" s="6"/>
      <c r="AF96" s="6"/>
      <c r="AG96" s="6"/>
    </row>
    <row r="97" spans="1:33" ht="39.6" x14ac:dyDescent="0.25">
      <c r="A97" s="6">
        <f ca="1">IFERROR(__xludf.DUMMYFUNCTION("""COMPUTED_VALUE"""),103)</f>
        <v>103</v>
      </c>
      <c r="B97" s="6">
        <f ca="1">IFERROR(__xludf.DUMMYFUNCTION("""COMPUTED_VALUE"""),3)</f>
        <v>3</v>
      </c>
      <c r="C97" s="6" t="str">
        <f ca="1">IFERROR(__xludf.DUMMYFUNCTION("""COMPUTED_VALUE"""),"Newtown Primary School")</f>
        <v>Newtown Primary School</v>
      </c>
      <c r="D97" s="6" t="str">
        <f ca="1">IFERROR(__xludf.DUMMYFUNCTION("""COMPUTED_VALUE"""),"Other Chinese Institution")</f>
        <v>Other Chinese Institution</v>
      </c>
      <c r="E97" s="6" t="str">
        <f ca="1">IFERROR(__xludf.DUMMYFUNCTION("""COMPUTED_VALUE"""),"The Chinese Government")</f>
        <v>The Chinese Government</v>
      </c>
      <c r="F97" s="6" t="str">
        <f ca="1">IFERROR(__xludf.DUMMYFUNCTION("""COMPUTED_VALUE"""),"N/A")</f>
        <v>N/A</v>
      </c>
      <c r="G97" s="6">
        <f ca="1">IFERROR(__xludf.DUMMYFUNCTION("""COMPUTED_VALUE"""),4)</f>
        <v>4</v>
      </c>
      <c r="H97" s="6" t="str">
        <f ca="1">IFERROR(__xludf.DUMMYFUNCTION("""COMPUTED_VALUE"""),"Public Infrastructure")</f>
        <v>Public Infrastructure</v>
      </c>
      <c r="I97" s="6" t="str">
        <f ca="1">IFERROR(__xludf.DUMMYFUNCTION("""COMPUTED_VALUE"""),"Grant")</f>
        <v>Grant</v>
      </c>
      <c r="J97" s="6" t="str">
        <f ca="1">IFERROR(__xludf.DUMMYFUNCTION("""COMPUTED_VALUE"""),"$6,000,000 USD")</f>
        <v>$6,000,000 USD</v>
      </c>
      <c r="K97" s="6" t="str">
        <f ca="1">IFERROR(__xludf.DUMMYFUNCTION("""COMPUTED_VALUE"""),"DMA")</f>
        <v>DMA</v>
      </c>
      <c r="L97" s="6" t="str">
        <f ca="1">IFERROR(__xludf.DUMMYFUNCTION("""COMPUTED_VALUE"""),"Dominica")</f>
        <v>Dominica</v>
      </c>
      <c r="M97" s="6" t="str">
        <f ca="1">IFERROR(__xludf.DUMMYFUNCTION("""COMPUTED_VALUE"""),"00109-8000 Roseau, Dominica")</f>
        <v>00109-8000 Roseau, Dominica</v>
      </c>
      <c r="N97" s="6" t="str">
        <f ca="1">IFERROR(__xludf.DUMMYFUNCTION("""COMPUTED_VALUE"""),"School was funded through a six million dollar grant from the Chinese Government. The school is a modernized facility that caters to the needs of up to 300 students; including large classrooms, art rooms, IT centers, a library, kitchen, and administration"&amp;" offices. The school serves as a reminder of the ""genuine relationship"" between Dominica and the People's Republic of China.")</f>
        <v>School was funded through a six million dollar grant from the Chinese Government. The school is a modernized facility that caters to the needs of up to 300 students; including large classrooms, art rooms, IT centers, a library, kitchen, and administration offices. The school serves as a reminder of the "genuine relationship" between Dominica and the People's Republic of China.</v>
      </c>
      <c r="O97" s="6" t="str">
        <f ca="1">IFERROR(__xludf.DUMMYFUNCTION("""COMPUTED_VALUE"""),"10/0/2013")</f>
        <v>10/0/2013</v>
      </c>
      <c r="P97" s="6" t="str">
        <f ca="1">IFERROR(__xludf.DUMMYFUNCTION("""COMPUTED_VALUE"""),"01/00/16")</f>
        <v>01/00/16</v>
      </c>
      <c r="Q97" s="6" t="str">
        <f ca="1">IFERROR(__xludf.DUMMYFUNCTION("""COMPUTED_VALUE"""),"Completed")</f>
        <v>Completed</v>
      </c>
      <c r="R97" s="6" t="str">
        <f ca="1">IFERROR(__xludf.DUMMYFUNCTION("""COMPUTED_VALUE"""),"SCH")</f>
        <v>SCH</v>
      </c>
      <c r="S97" s="9" t="str">
        <f ca="1">IFERROR(__xludf.DUMMYFUNCTION("""COMPUTED_VALUE"""),"https://gist.github.com/mayadeutchman/abc06b4492431608327527e436dbdb19")</f>
        <v>https://gist.github.com/mayadeutchman/abc06b4492431608327527e436dbdb19</v>
      </c>
      <c r="T97" s="6" t="str">
        <f ca="1">IFERROR(__xludf.DUMMYFUNCTION("""COMPUTED_VALUE"""),"BLOB")</f>
        <v>BLOB</v>
      </c>
      <c r="U97" s="6" t="str">
        <f ca="1">IFERROR(__xludf.DUMMYFUNCTION("""COMPUTED_VALUE"""),"Used satellite imagery and followed google maps")</f>
        <v>Used satellite imagery and followed google maps</v>
      </c>
      <c r="V97" s="6" t="str">
        <f ca="1">IFERROR(__xludf.DUMMYFUNCTION("""COMPUTED_VALUE"""),"Yes (Both)")</f>
        <v>Yes (Both)</v>
      </c>
      <c r="W97" s="6" t="str">
        <f ca="1">IFERROR(__xludf.DUMMYFUNCTION("""COMPUTED_VALUE"""),"Saint George Parish")</f>
        <v>Saint George Parish</v>
      </c>
      <c r="X97" s="6"/>
      <c r="Y97" s="6"/>
      <c r="Z97" s="6"/>
      <c r="AA97" s="6"/>
      <c r="AB97" s="6"/>
      <c r="AC97" s="6"/>
      <c r="AD97" s="6"/>
      <c r="AE97" s="6"/>
      <c r="AF97" s="6"/>
      <c r="AG97" s="6"/>
    </row>
    <row r="98" spans="1:33" ht="158.4" x14ac:dyDescent="0.25">
      <c r="A98" s="6">
        <f ca="1">IFERROR(__xludf.DUMMYFUNCTION("""COMPUTED_VALUE"""),104)</f>
        <v>104</v>
      </c>
      <c r="B98" s="6">
        <f ca="1">IFERROR(__xludf.DUMMYFUNCTION("""COMPUTED_VALUE"""),3)</f>
        <v>3</v>
      </c>
      <c r="C98" s="6" t="str">
        <f ca="1">IFERROR(__xludf.DUMMYFUNCTION("""COMPUTED_VALUE"""),"St. John's Deep-Water Harbour Port Renovation")</f>
        <v>St. John's Deep-Water Harbour Port Renovation</v>
      </c>
      <c r="D98" s="6" t="str">
        <f ca="1">IFERROR(__xludf.DUMMYFUNCTION("""COMPUTED_VALUE"""),"CHEXIM")</f>
        <v>CHEXIM</v>
      </c>
      <c r="E98" s="6" t="str">
        <f ca="1">IFERROR(__xludf.DUMMYFUNCTION("""COMPUTED_VALUE"""),"CHEXIM")</f>
        <v>CHEXIM</v>
      </c>
      <c r="F98" s="6" t="str">
        <f ca="1">IFERROR(__xludf.DUMMYFUNCTION("""COMPUTED_VALUE"""),"China Engineering Construction Corporation (CCECC)")</f>
        <v>China Engineering Construction Corporation (CCECC)</v>
      </c>
      <c r="G98" s="6">
        <f ca="1">IFERROR(__xludf.DUMMYFUNCTION("""COMPUTED_VALUE"""),1.1)</f>
        <v>1.1000000000000001</v>
      </c>
      <c r="H98" s="6" t="str">
        <f ca="1">IFERROR(__xludf.DUMMYFUNCTION("""COMPUTED_VALUE"""),"Port")</f>
        <v>Port</v>
      </c>
      <c r="I98" s="6" t="str">
        <f ca="1">IFERROR(__xludf.DUMMYFUNCTION("""COMPUTED_VALUE"""),"Loan")</f>
        <v>Loan</v>
      </c>
      <c r="J98" s="6" t="str">
        <f ca="1">IFERROR(__xludf.DUMMYFUNCTION("""COMPUTED_VALUE"""),"$90,000,000 USD")</f>
        <v>$90,000,000 USD</v>
      </c>
      <c r="K98" s="6" t="str">
        <f ca="1">IFERROR(__xludf.DUMMYFUNCTION("""COMPUTED_VALUE"""),"ATG")</f>
        <v>ATG</v>
      </c>
      <c r="L98" s="6" t="str">
        <f ca="1">IFERROR(__xludf.DUMMYFUNCTION("""COMPUTED_VALUE"""),"Antigua and Barbuda")</f>
        <v>Antigua and Barbuda</v>
      </c>
      <c r="M98" s="6" t="str">
        <f ca="1">IFERROR(__xludf.DUMMYFUNCTION("""COMPUTED_VALUE"""),"Deep Water Harbour P.O. Box 1052 St. John's, Antigua Island Antigua and Barbuda")</f>
        <v>Deep Water Harbour P.O. Box 1052 St. John's, Antigua Island Antigua and Barbuda</v>
      </c>
      <c r="N98" s="6" t="str">
        <f ca="1">IFERROR(__xludf.DUMMYFUNCTION("""COMPUTED_VALUE"""),"The Chinese Export-Import Bank (CHEXIM) has supplied the Government of Antigua and Barbuda with a US $90 million low-interest loan for modernizing and expanding the Deepwater harbour cargo port off St.Johns. The new facility will be equipped with a new Se"&amp;"a Wall, new operations area, maintenance shop, dockers quarters, a new warehouse, Marine department, and an Administration building.")</f>
        <v>The Chinese Export-Import Bank (CHEXIM) has supplied the Government of Antigua and Barbuda with a US $90 million low-interest loan for modernizing and expanding the Deepwater harbour cargo port off St.Johns. The new facility will be equipped with a new Sea Wall, new operations area, maintenance shop, dockers quarters, a new warehouse, Marine department, and an Administration building.</v>
      </c>
      <c r="O98" s="12">
        <f ca="1">IFERROR(__xludf.DUMMYFUNCTION("""COMPUTED_VALUE"""),43115)</f>
        <v>43115</v>
      </c>
      <c r="P98" s="6" t="str">
        <f ca="1">IFERROR(__xludf.DUMMYFUNCTION("""COMPUTED_VALUE"""),"N/A")</f>
        <v>N/A</v>
      </c>
      <c r="Q98" s="6" t="str">
        <f ca="1">IFERROR(__xludf.DUMMYFUNCTION("""COMPUTED_VALUE"""),"Under construction - on time")</f>
        <v>Under construction - on time</v>
      </c>
      <c r="R98" s="6" t="str">
        <f ca="1">IFERROR(__xludf.DUMMYFUNCTION("""COMPUTED_VALUE"""),"PRT")</f>
        <v>PRT</v>
      </c>
      <c r="S98" s="9" t="str">
        <f ca="1">IFERROR(__xludf.DUMMYFUNCTION("""COMPUTED_VALUE"""),"https://gist.github.com/Remy2020/c2619e9995ecb6df7fb05313355b6685")</f>
        <v>https://gist.github.com/Remy2020/c2619e9995ecb6df7fb05313355b6685</v>
      </c>
      <c r="T98" s="6" t="str">
        <f ca="1">IFERROR(__xludf.DUMMYFUNCTION("""COMPUTED_VALUE"""),"BLOB")</f>
        <v>BLOB</v>
      </c>
      <c r="U98" s="6" t="str">
        <f ca="1">IFERROR(__xludf.DUMMYFUNCTION("""COMPUTED_VALUE"""),"Used satellite imagery and followed google maps")</f>
        <v>Used satellite imagery and followed google maps</v>
      </c>
      <c r="V98" s="6" t="str">
        <f ca="1">IFERROR(__xludf.DUMMYFUNCTION("""COMPUTED_VALUE"""),"Yes (Both)")</f>
        <v>Yes (Both)</v>
      </c>
      <c r="W98" s="6" t="str">
        <f ca="1">IFERROR(__xludf.DUMMYFUNCTION("""COMPUTED_VALUE"""),"Saint John")</f>
        <v>Saint John</v>
      </c>
      <c r="X98" s="6" t="str">
        <f ca="1">IFERROR(__xludf.DUMMYFUNCTION("""COMPUTED_VALUE"""),"12/20/2017 | 08/24/2018 | 09/29/2019 | 02/20/2020 | 05/17/2020")</f>
        <v>12/20/2017 | 08/24/2018 | 09/29/2019 | 02/20/2020 | 05/17/2020</v>
      </c>
      <c r="Y98" s="6" t="str">
        <f ca="1">IFERROR(__xludf.DUMMYFUNCTION("""COMPUTED_VALUE"""),"Construction is going ahead as planned on the Deep Water Port. The existing quay has been extended 350m eastward. About 350m further east, cranes mobile on the water are laying the foundation pieces for what seems to a western expansion of the port (to co"&amp;"nnect with the aformentioned 350m extension). From the same point with the cranes, work is taking place eastward for another 200m. In total, the expected length of the completed port structure could be around 1,200m.")</f>
        <v>Construction is going ahead as planned on the Deep Water Port. The existing quay has been extended 350m eastward. About 350m further east, cranes mobile on the water are laying the foundation pieces for what seems to a western expansion of the port (to connect with the aformentioned 350m extension). From the same point with the cranes, work is taking place eastward for another 200m. In total, the expected length of the completed port structure could be around 1,200m.</v>
      </c>
      <c r="Z98" s="6" t="str">
        <f ca="1">IFERROR(__xludf.DUMMYFUNCTION("""COMPUTED_VALUE"""),"LAT: 17°07'35.6""N LON: 61°51'22.0""W")</f>
        <v>LAT: 17°07'35.6"N LON: 61°51'22.0"W</v>
      </c>
      <c r="AA98" s="6"/>
      <c r="AB98" s="6"/>
      <c r="AC98" s="6"/>
      <c r="AD98" s="6"/>
      <c r="AE98" s="6"/>
      <c r="AF98" s="6"/>
      <c r="AG98" s="6"/>
    </row>
    <row r="99" spans="1:33" ht="52.8" x14ac:dyDescent="0.25">
      <c r="A99" s="6">
        <f ca="1">IFERROR(__xludf.DUMMYFUNCTION("""COMPUTED_VALUE"""),105)</f>
        <v>105</v>
      </c>
      <c r="B99" s="6">
        <f ca="1">IFERROR(__xludf.DUMMYFUNCTION("""COMPUTED_VALUE"""),3)</f>
        <v>3</v>
      </c>
      <c r="C99" s="6" t="str">
        <f ca="1">IFERROR(__xludf.DUMMYFUNCTION("""COMPUTED_VALUE"""),"VC Bird Airport Terminal")</f>
        <v>VC Bird Airport Terminal</v>
      </c>
      <c r="D99" s="6" t="str">
        <f ca="1">IFERROR(__xludf.DUMMYFUNCTION("""COMPUTED_VALUE"""),"CHEXIM")</f>
        <v>CHEXIM</v>
      </c>
      <c r="E99" s="6" t="str">
        <f ca="1">IFERROR(__xludf.DUMMYFUNCTION("""COMPUTED_VALUE"""),"CHEXIM")</f>
        <v>CHEXIM</v>
      </c>
      <c r="F99" s="6" t="str">
        <f ca="1">IFERROR(__xludf.DUMMYFUNCTION("""COMPUTED_VALUE"""),"China Engineering Construction Corporation (CCECC)")</f>
        <v>China Engineering Construction Corporation (CCECC)</v>
      </c>
      <c r="G99" s="6">
        <f ca="1">IFERROR(__xludf.DUMMYFUNCTION("""COMPUTED_VALUE"""),4)</f>
        <v>4</v>
      </c>
      <c r="H99" s="6" t="str">
        <f ca="1">IFERROR(__xludf.DUMMYFUNCTION("""COMPUTED_VALUE"""),"Airport")</f>
        <v>Airport</v>
      </c>
      <c r="I99" s="6" t="str">
        <f ca="1">IFERROR(__xludf.DUMMYFUNCTION("""COMPUTED_VALUE"""),"Loan")</f>
        <v>Loan</v>
      </c>
      <c r="J99" s="6" t="str">
        <f ca="1">IFERROR(__xludf.DUMMYFUNCTION("""COMPUTED_VALUE"""),"$100,000,000 USD")</f>
        <v>$100,000,000 USD</v>
      </c>
      <c r="K99" s="6" t="str">
        <f ca="1">IFERROR(__xludf.DUMMYFUNCTION("""COMPUTED_VALUE"""),"ATG")</f>
        <v>ATG</v>
      </c>
      <c r="L99" s="6" t="str">
        <f ca="1">IFERROR(__xludf.DUMMYFUNCTION("""COMPUTED_VALUE"""),"Antigua and Barbuda")</f>
        <v>Antigua and Barbuda</v>
      </c>
      <c r="M99" s="6" t="str">
        <f ca="1">IFERROR(__xludf.DUMMYFUNCTION("""COMPUTED_VALUE"""),"VCB International Airport, St.Johns, Antigua")</f>
        <v>VCB International Airport, St.Johns, Antigua</v>
      </c>
      <c r="N99" s="6" t="str">
        <f ca="1">IFERROR(__xludf.DUMMYFUNCTION("""COMPUTED_VALUE"""),"The Chinese Export-Import Bank (CHEXIM) funded the new VC Bird International Airport built in Antigua. The modern facility consists of two floors, four jet bridges, 14 departure gates, a mini food court, full baggage screening, and a VIP lounge. The airpo"&amp;"rt construction was handled by CCECC, whose purpose was to provide a boost to the economy, construction industry, and a historical landmark while being a transportation hub for the country.")</f>
        <v>The Chinese Export-Import Bank (CHEXIM) funded the new VC Bird International Airport built in Antigua. The modern facility consists of two floors, four jet bridges, 14 departure gates, a mini food court, full baggage screening, and a VIP lounge. The airport construction was handled by CCECC, whose purpose was to provide a boost to the economy, construction industry, and a historical landmark while being a transportation hub for the country.</v>
      </c>
      <c r="O99" s="12">
        <f ca="1">IFERROR(__xludf.DUMMYFUNCTION("""COMPUTED_VALUE"""),40849)</f>
        <v>40849</v>
      </c>
      <c r="P99" s="6" t="str">
        <f ca="1">IFERROR(__xludf.DUMMYFUNCTION("""COMPUTED_VALUE"""),"08/00/2015")</f>
        <v>08/00/2015</v>
      </c>
      <c r="Q99" s="6" t="str">
        <f ca="1">IFERROR(__xludf.DUMMYFUNCTION("""COMPUTED_VALUE"""),"Completed")</f>
        <v>Completed</v>
      </c>
      <c r="R99" s="6" t="str">
        <f ca="1">IFERROR(__xludf.DUMMYFUNCTION("""COMPUTED_VALUE"""),"AIRP")</f>
        <v>AIRP</v>
      </c>
      <c r="S99" s="9" t="str">
        <f ca="1">IFERROR(__xludf.DUMMYFUNCTION("""COMPUTED_VALUE"""),"https://gist.github.com/mayadeutchman/998d91f510bc0b750b3ae40b0c207ecb")</f>
        <v>https://gist.github.com/mayadeutchman/998d91f510bc0b750b3ae40b0c207ecb</v>
      </c>
      <c r="T99" s="6" t="str">
        <f ca="1">IFERROR(__xludf.DUMMYFUNCTION("""COMPUTED_VALUE"""),"BLOB")</f>
        <v>BLOB</v>
      </c>
      <c r="U99" s="6" t="str">
        <f ca="1">IFERROR(__xludf.DUMMYFUNCTION("""COMPUTED_VALUE"""),"Used staellite imagery and followed google maps")</f>
        <v>Used staellite imagery and followed google maps</v>
      </c>
      <c r="V99" s="6" t="str">
        <f ca="1">IFERROR(__xludf.DUMMYFUNCTION("""COMPUTED_VALUE"""),"Yes (Both)")</f>
        <v>Yes (Both)</v>
      </c>
      <c r="W99" s="6" t="str">
        <f ca="1">IFERROR(__xludf.DUMMYFUNCTION("""COMPUTED_VALUE"""),"Saint John")</f>
        <v>Saint John</v>
      </c>
      <c r="X99" s="6"/>
      <c r="Y99" s="6"/>
      <c r="Z99" s="6"/>
      <c r="AA99" s="6"/>
      <c r="AB99" s="6"/>
      <c r="AC99" s="6"/>
      <c r="AD99" s="6"/>
      <c r="AE99" s="6"/>
      <c r="AF99" s="6"/>
      <c r="AG99" s="6"/>
    </row>
    <row r="100" spans="1:33" ht="52.8" x14ac:dyDescent="0.25">
      <c r="A100" s="6">
        <f ca="1">IFERROR(__xludf.DUMMYFUNCTION("""COMPUTED_VALUE"""),107)</f>
        <v>107</v>
      </c>
      <c r="B100" s="6">
        <f ca="1">IFERROR(__xludf.DUMMYFUNCTION("""COMPUTED_VALUE"""),3)</f>
        <v>3</v>
      </c>
      <c r="C100" s="6" t="str">
        <f ca="1">IFERROR(__xludf.DUMMYFUNCTION("""COMPUTED_VALUE"""),"Post-Disaster Roof Restoration Project")</f>
        <v>Post-Disaster Roof Restoration Project</v>
      </c>
      <c r="D100" s="6" t="str">
        <f ca="1">IFERROR(__xludf.DUMMYFUNCTION("""COMPUTED_VALUE"""),"Other Chinese Institution")</f>
        <v>Other Chinese Institution</v>
      </c>
      <c r="E100" s="6" t="str">
        <f ca="1">IFERROR(__xludf.DUMMYFUNCTION("""COMPUTED_VALUE"""),"Government of China")</f>
        <v>Government of China</v>
      </c>
      <c r="F100" s="6" t="str">
        <f ca="1">IFERROR(__xludf.DUMMYFUNCTION("""COMPUTED_VALUE"""),"Post-Disaster Roof Project")</f>
        <v>Post-Disaster Roof Project</v>
      </c>
      <c r="G100" s="6">
        <f ca="1">IFERROR(__xludf.DUMMYFUNCTION("""COMPUTED_VALUE"""),1.3)</f>
        <v>1.3</v>
      </c>
      <c r="H100" s="6" t="str">
        <f ca="1">IFERROR(__xludf.DUMMYFUNCTION("""COMPUTED_VALUE"""),"Humanitarian Aid")</f>
        <v>Humanitarian Aid</v>
      </c>
      <c r="I100" s="6" t="str">
        <f ca="1">IFERROR(__xludf.DUMMYFUNCTION("""COMPUTED_VALUE"""),"Grant")</f>
        <v>Grant</v>
      </c>
      <c r="J100" s="6" t="str">
        <f ca="1">IFERROR(__xludf.DUMMYFUNCTION("""COMPUTED_VALUE"""),"$2,000,000 USD")</f>
        <v>$2,000,000 USD</v>
      </c>
      <c r="K100" s="6" t="str">
        <f ca="1">IFERROR(__xludf.DUMMYFUNCTION("""COMPUTED_VALUE"""),"ATG")</f>
        <v>ATG</v>
      </c>
      <c r="L100" s="6" t="str">
        <f ca="1">IFERROR(__xludf.DUMMYFUNCTION("""COMPUTED_VALUE"""),"Antigua and Barbuda")</f>
        <v>Antigua and Barbuda</v>
      </c>
      <c r="M100" s="6" t="str">
        <f ca="1">IFERROR(__xludf.DUMMYFUNCTION("""COMPUTED_VALUE"""),"N/A")</f>
        <v>N/A</v>
      </c>
      <c r="N100" s="6" t="str">
        <f ca="1">IFERROR(__xludf.DUMMYFUNCTION("""COMPUTED_VALUE"""),"The Post-Disaster Roof Restoration Project was a USD two million dollar project funded by the Chinese Government to support Antigua and Barbuda after Hurricane Irma. The Project was created to help repair housing units for the citizens of Antigua after th"&amp;"e Hurricane. The Project repaired approximately 250 roofs, with a total of 302 homes and essential facilities served with roofing materials during the six-month relief program.")</f>
        <v>The Post-Disaster Roof Restoration Project was a USD two million dollar project funded by the Chinese Government to support Antigua and Barbuda after Hurricane Irma. The Project was created to help repair housing units for the citizens of Antigua after the Hurricane. The Project repaired approximately 250 roofs, with a total of 302 homes and essential facilities served with roofing materials during the six-month relief program.</v>
      </c>
      <c r="O100" s="6" t="str">
        <f ca="1">IFERROR(__xludf.DUMMYFUNCTION("""COMPUTED_VALUE"""),"01/00/2018")</f>
        <v>01/00/2018</v>
      </c>
      <c r="P100" s="12">
        <f ca="1">IFERROR(__xludf.DUMMYFUNCTION("""COMPUTED_VALUE"""),43281)</f>
        <v>43281</v>
      </c>
      <c r="Q100" s="6" t="str">
        <f ca="1">IFERROR(__xludf.DUMMYFUNCTION("""COMPUTED_VALUE"""),"Completed")</f>
        <v>Completed</v>
      </c>
      <c r="R100" s="6" t="str">
        <f ca="1">IFERROR(__xludf.DUMMYFUNCTION("""COMPUTED_VALUE"""),"UNM")</f>
        <v>UNM</v>
      </c>
      <c r="S100" s="6" t="str">
        <f ca="1">IFERROR(__xludf.DUMMYFUNCTION("""COMPUTED_VALUE"""),"N/A")</f>
        <v>N/A</v>
      </c>
      <c r="T100" s="6" t="str">
        <f ca="1">IFERROR(__xludf.DUMMYFUNCTION("""COMPUTED_VALUE"""),"UNM")</f>
        <v>UNM</v>
      </c>
      <c r="U100" s="6" t="str">
        <f ca="1">IFERROR(__xludf.DUMMYFUNCTION("""COMPUTED_VALUE"""),"Unmappable")</f>
        <v>Unmappable</v>
      </c>
      <c r="V100" s="6" t="str">
        <f ca="1">IFERROR(__xludf.DUMMYFUNCTION("""COMPUTED_VALUE"""),"No")</f>
        <v>No</v>
      </c>
      <c r="W100" s="6" t="str">
        <f ca="1">IFERROR(__xludf.DUMMYFUNCTION("""COMPUTED_VALUE"""),"NA")</f>
        <v>NA</v>
      </c>
      <c r="X100" s="6"/>
      <c r="Y100" s="6"/>
      <c r="Z100" s="6"/>
      <c r="AA100" s="6"/>
      <c r="AB100" s="6"/>
      <c r="AC100" s="6"/>
      <c r="AD100" s="6"/>
      <c r="AE100" s="6"/>
      <c r="AF100" s="6"/>
      <c r="AG100" s="6"/>
    </row>
    <row r="101" spans="1:33" ht="52.8" x14ac:dyDescent="0.25">
      <c r="A101" s="6">
        <f ca="1">IFERROR(__xludf.DUMMYFUNCTION("""COMPUTED_VALUE"""),108)</f>
        <v>108</v>
      </c>
      <c r="B101" s="6">
        <f ca="1">IFERROR(__xludf.DUMMYFUNCTION("""COMPUTED_VALUE"""),4)</f>
        <v>4</v>
      </c>
      <c r="C101" s="6" t="str">
        <f ca="1">IFERROR(__xludf.DUMMYFUNCTION("""COMPUTED_VALUE"""),"Sir Vivian Richards Stadium")</f>
        <v>Sir Vivian Richards Stadium</v>
      </c>
      <c r="D101" s="6" t="str">
        <f ca="1">IFERROR(__xludf.DUMMYFUNCTION("""COMPUTED_VALUE"""),"Other Chinese Institution")</f>
        <v>Other Chinese Institution</v>
      </c>
      <c r="E101" s="6" t="str">
        <f ca="1">IFERROR(__xludf.DUMMYFUNCTION("""COMPUTED_VALUE"""),"Government of China")</f>
        <v>Government of China</v>
      </c>
      <c r="F101" s="6" t="str">
        <f ca="1">IFERROR(__xludf.DUMMYFUNCTION("""COMPUTED_VALUE"""),"N/A")</f>
        <v>N/A</v>
      </c>
      <c r="G101" s="6">
        <f ca="1">IFERROR(__xludf.DUMMYFUNCTION("""COMPUTED_VALUE"""),4)</f>
        <v>4</v>
      </c>
      <c r="H101" s="6" t="str">
        <f ca="1">IFERROR(__xludf.DUMMYFUNCTION("""COMPUTED_VALUE"""),"Recreational")</f>
        <v>Recreational</v>
      </c>
      <c r="I101" s="6" t="str">
        <f ca="1">IFERROR(__xludf.DUMMYFUNCTION("""COMPUTED_VALUE"""),"Grant")</f>
        <v>Grant</v>
      </c>
      <c r="J101" s="6" t="str">
        <f ca="1">IFERROR(__xludf.DUMMYFUNCTION("""COMPUTED_VALUE"""),"$55,000,000 USD")</f>
        <v>$55,000,000 USD</v>
      </c>
      <c r="K101" s="6" t="str">
        <f ca="1">IFERROR(__xludf.DUMMYFUNCTION("""COMPUTED_VALUE"""),"ATG")</f>
        <v>ATG</v>
      </c>
      <c r="L101" s="6" t="str">
        <f ca="1">IFERROR(__xludf.DUMMYFUNCTION("""COMPUTED_VALUE"""),"Antigua and Barbuda")</f>
        <v>Antigua and Barbuda</v>
      </c>
      <c r="M101" s="6" t="str">
        <f ca="1">IFERROR(__xludf.DUMMYFUNCTION("""COMPUTED_VALUE"""),"North Sound, Antigua, Antigua and Barbuda")</f>
        <v>North Sound, Antigua, Antigua and Barbuda</v>
      </c>
      <c r="N101" s="6" t="str">
        <f ca="1">IFERROR(__xludf.DUMMYFUNCTION("""COMPUTED_VALUE"""),"In 2005, The Government of China supplied Antigua with a $55 million USD grant to build the Sir Vivian Richards stadium. The stadium is a cricket stadium that was constructed for Antigua in anticipation of the country hosting the cricket World Cup. State-"&amp;"owned chinese companies brought Chinese workers to construct the stadium for Antigua. China has been investing in cricket stadiums in the Caribbean to isolate Taiwan from investing in the area.")</f>
        <v>In 2005, The Government of China supplied Antigua with a $55 million USD grant to build the Sir Vivian Richards stadium. The stadium is a cricket stadium that was constructed for Antigua in anticipation of the country hosting the cricket World Cup. State-owned chinese companies brought Chinese workers to construct the stadium for Antigua. China has been investing in cricket stadiums in the Caribbean to isolate Taiwan from investing in the area.</v>
      </c>
      <c r="O101" s="6" t="str">
        <f ca="1">IFERROR(__xludf.DUMMYFUNCTION("""COMPUTED_VALUE"""),"00/00/2005")</f>
        <v>00/00/2005</v>
      </c>
      <c r="P101" s="6" t="str">
        <f ca="1">IFERROR(__xludf.DUMMYFUNCTION("""COMPUTED_VALUE"""),"03/00/2007")</f>
        <v>03/00/2007</v>
      </c>
      <c r="Q101" s="6" t="str">
        <f ca="1">IFERROR(__xludf.DUMMYFUNCTION("""COMPUTED_VALUE"""),"Completed")</f>
        <v>Completed</v>
      </c>
      <c r="R101" s="6" t="str">
        <f ca="1">IFERROR(__xludf.DUMMYFUNCTION("""COMPUTED_VALUE"""),"STDM")</f>
        <v>STDM</v>
      </c>
      <c r="S101" s="9" t="str">
        <f ca="1">IFERROR(__xludf.DUMMYFUNCTION("""COMPUTED_VALUE"""),"https://gist.github.com/mayadeutchman/4b382a70a11dbfe6c52abb1f6befa4aa")</f>
        <v>https://gist.github.com/mayadeutchman/4b382a70a11dbfe6c52abb1f6befa4aa</v>
      </c>
      <c r="T101" s="6" t="str">
        <f ca="1">IFERROR(__xludf.DUMMYFUNCTION("""COMPUTED_VALUE"""),"BLOB")</f>
        <v>BLOB</v>
      </c>
      <c r="U101" s="6" t="str">
        <f ca="1">IFERROR(__xludf.DUMMYFUNCTION("""COMPUTED_VALUE"""),"Used satellite imagery and followed google maps. The stadium is located along the boundary between two ADM1s.")</f>
        <v>Used satellite imagery and followed google maps. The stadium is located along the boundary between two ADM1s.</v>
      </c>
      <c r="V101" s="6" t="str">
        <f ca="1">IFERROR(__xludf.DUMMYFUNCTION("""COMPUTED_VALUE"""),"Yes (Geocoded)")</f>
        <v>Yes (Geocoded)</v>
      </c>
      <c r="W101" s="6" t="str">
        <f ca="1">IFERROR(__xludf.DUMMYFUNCTION("""COMPUTED_VALUE"""),"NA")</f>
        <v>NA</v>
      </c>
      <c r="X101" s="6"/>
      <c r="Y101" s="6"/>
      <c r="Z101" s="6"/>
      <c r="AA101" s="6"/>
      <c r="AB101" s="6"/>
      <c r="AC101" s="6"/>
      <c r="AD101" s="6"/>
      <c r="AE101" s="6"/>
      <c r="AF101" s="6"/>
      <c r="AG101" s="6"/>
    </row>
    <row r="102" spans="1:33" ht="39.6" x14ac:dyDescent="0.25">
      <c r="A102" s="6">
        <f ca="1">IFERROR(__xludf.DUMMYFUNCTION("""COMPUTED_VALUE"""),109)</f>
        <v>109</v>
      </c>
      <c r="B102" s="6">
        <f ca="1">IFERROR(__xludf.DUMMYFUNCTION("""COMPUTED_VALUE"""),3)</f>
        <v>3</v>
      </c>
      <c r="C102" s="6" t="str">
        <f ca="1">IFERROR(__xludf.DUMMYFUNCTION("""COMPUTED_VALUE"""),"Affordable Housing Project")</f>
        <v>Affordable Housing Project</v>
      </c>
      <c r="D102" s="6" t="str">
        <f ca="1">IFERROR(__xludf.DUMMYFUNCTION("""COMPUTED_VALUE"""),"Other Chinese Institution")</f>
        <v>Other Chinese Institution</v>
      </c>
      <c r="E102" s="6" t="str">
        <f ca="1">IFERROR(__xludf.DUMMYFUNCTION("""COMPUTED_VALUE"""),"Government of China")</f>
        <v>Government of China</v>
      </c>
      <c r="F102" s="6" t="str">
        <f ca="1">IFERROR(__xludf.DUMMYFUNCTION("""COMPUTED_VALUE"""),"N/A")</f>
        <v>N/A</v>
      </c>
      <c r="G102" s="6">
        <f ca="1">IFERROR(__xludf.DUMMYFUNCTION("""COMPUTED_VALUE"""),1.3)</f>
        <v>1.3</v>
      </c>
      <c r="H102" s="6" t="str">
        <f ca="1">IFERROR(__xludf.DUMMYFUNCTION("""COMPUTED_VALUE"""),"Residential")</f>
        <v>Residential</v>
      </c>
      <c r="I102" s="6" t="str">
        <f ca="1">IFERROR(__xludf.DUMMYFUNCTION("""COMPUTED_VALUE"""),"Grant")</f>
        <v>Grant</v>
      </c>
      <c r="J102" s="6" t="str">
        <f ca="1">IFERROR(__xludf.DUMMYFUNCTION("""COMPUTED_VALUE"""),"$11,000,000 USD")</f>
        <v>$11,000,000 USD</v>
      </c>
      <c r="K102" s="6" t="str">
        <f ca="1">IFERROR(__xludf.DUMMYFUNCTION("""COMPUTED_VALUE"""),"ATG")</f>
        <v>ATG</v>
      </c>
      <c r="L102" s="6" t="str">
        <f ca="1">IFERROR(__xludf.DUMMYFUNCTION("""COMPUTED_VALUE"""),"Antigua and Barbuda")</f>
        <v>Antigua and Barbuda</v>
      </c>
      <c r="M102" s="6" t="str">
        <f ca="1">IFERROR(__xludf.DUMMYFUNCTION("""COMPUTED_VALUE"""),"N/A")</f>
        <v>N/A</v>
      </c>
      <c r="N102" s="6" t="str">
        <f ca="1">IFERROR(__xludf.DUMMYFUNCTION("""COMPUTED_VALUE"""),"As part of an agreement signed by the Antiguan and Chinese government, China signed a grant agreement to give the Antiguan government's Affordable Housing Project USD $11 million dollars. The project is to help provide affordable residential areas to citi"&amp;"zens in Antigua.")</f>
        <v>As part of an agreement signed by the Antiguan and Chinese government, China signed a grant agreement to give the Antiguan government's Affordable Housing Project USD $11 million dollars. The project is to help provide affordable residential areas to citizens in Antigua.</v>
      </c>
      <c r="O102" s="8">
        <f ca="1">IFERROR(__xludf.DUMMYFUNCTION("""COMPUTED_VALUE"""),43764)</f>
        <v>43764</v>
      </c>
      <c r="P102" s="6" t="str">
        <f ca="1">IFERROR(__xludf.DUMMYFUNCTION("""COMPUTED_VALUE"""),"N/A")</f>
        <v>N/A</v>
      </c>
      <c r="Q102" s="6" t="str">
        <f ca="1">IFERROR(__xludf.DUMMYFUNCTION("""COMPUTED_VALUE"""),"In Progress - non-construction ")</f>
        <v xml:space="preserve">In Progress - non-construction </v>
      </c>
      <c r="R102" s="6" t="str">
        <f ca="1">IFERROR(__xludf.DUMMYFUNCTION("""COMPUTED_VALUE"""),"UNM")</f>
        <v>UNM</v>
      </c>
      <c r="S102" s="6" t="str">
        <f ca="1">IFERROR(__xludf.DUMMYFUNCTION("""COMPUTED_VALUE"""),"N/A")</f>
        <v>N/A</v>
      </c>
      <c r="T102" s="6" t="str">
        <f ca="1">IFERROR(__xludf.DUMMYFUNCTION("""COMPUTED_VALUE"""),"UNM")</f>
        <v>UNM</v>
      </c>
      <c r="U102" s="6" t="str">
        <f ca="1">IFERROR(__xludf.DUMMYFUNCTION("""COMPUTED_VALUE"""),"Unmappable")</f>
        <v>Unmappable</v>
      </c>
      <c r="V102" s="6" t="str">
        <f ca="1">IFERROR(__xludf.DUMMYFUNCTION("""COMPUTED_VALUE"""),"No")</f>
        <v>No</v>
      </c>
      <c r="W102" s="6" t="str">
        <f ca="1">IFERROR(__xludf.DUMMYFUNCTION("""COMPUTED_VALUE"""),"NA")</f>
        <v>NA</v>
      </c>
      <c r="X102" s="6" t="str">
        <f ca="1">IFERROR(__xludf.DUMMYFUNCTION("""COMPUTED_VALUE"""),"N/A")</f>
        <v>N/A</v>
      </c>
      <c r="Y102" s="6" t="str">
        <f ca="1">IFERROR(__xludf.DUMMYFUNCTION("""COMPUTED_VALUE"""),"N/A")</f>
        <v>N/A</v>
      </c>
      <c r="Z102" s="6" t="str">
        <f ca="1">IFERROR(__xludf.DUMMYFUNCTION("""COMPUTED_VALUE"""),"N/A")</f>
        <v>N/A</v>
      </c>
      <c r="AA102" s="6"/>
      <c r="AB102" s="6"/>
      <c r="AC102" s="6"/>
      <c r="AD102" s="6"/>
      <c r="AE102" s="6"/>
      <c r="AF102" s="6"/>
      <c r="AG102" s="6"/>
    </row>
    <row r="103" spans="1:33" ht="52.8" x14ac:dyDescent="0.25">
      <c r="A103" s="6">
        <f ca="1">IFERROR(__xludf.DUMMYFUNCTION("""COMPUTED_VALUE"""),110)</f>
        <v>110</v>
      </c>
      <c r="B103" s="6">
        <f ca="1">IFERROR(__xludf.DUMMYFUNCTION("""COMPUTED_VALUE"""),3)</f>
        <v>3</v>
      </c>
      <c r="C103" s="6" t="str">
        <f ca="1">IFERROR(__xludf.DUMMYFUNCTION("""COMPUTED_VALUE"""),"University of the West Indies Multimedia Center Construction")</f>
        <v>University of the West Indies Multimedia Center Construction</v>
      </c>
      <c r="D103" s="6" t="str">
        <f ca="1">IFERROR(__xludf.DUMMYFUNCTION("""COMPUTED_VALUE"""),"Other Chinese Institution")</f>
        <v>Other Chinese Institution</v>
      </c>
      <c r="E103" s="6" t="str">
        <f ca="1">IFERROR(__xludf.DUMMYFUNCTION("""COMPUTED_VALUE"""),"Government of China")</f>
        <v>Government of China</v>
      </c>
      <c r="F103" s="6" t="str">
        <f ca="1">IFERROR(__xludf.DUMMYFUNCTION("""COMPUTED_VALUE"""),"N/A")</f>
        <v>N/A</v>
      </c>
      <c r="G103" s="6">
        <f ca="1">IFERROR(__xludf.DUMMYFUNCTION("""COMPUTED_VALUE"""),1.3)</f>
        <v>1.3</v>
      </c>
      <c r="H103" s="6" t="str">
        <f ca="1">IFERROR(__xludf.DUMMYFUNCTION("""COMPUTED_VALUE"""),"General")</f>
        <v>General</v>
      </c>
      <c r="I103" s="6" t="str">
        <f ca="1">IFERROR(__xludf.DUMMYFUNCTION("""COMPUTED_VALUE"""),"Grant")</f>
        <v>Grant</v>
      </c>
      <c r="J103" s="6" t="str">
        <f ca="1">IFERROR(__xludf.DUMMYFUNCTION("""COMPUTED_VALUE"""),"$250,000 USD")</f>
        <v>$250,000 USD</v>
      </c>
      <c r="K103" s="6" t="str">
        <f ca="1">IFERROR(__xludf.DUMMYFUNCTION("""COMPUTED_VALUE"""),"ATG")</f>
        <v>ATG</v>
      </c>
      <c r="L103" s="6" t="str">
        <f ca="1">IFERROR(__xludf.DUMMYFUNCTION("""COMPUTED_VALUE"""),"Antigua and Barbuda")</f>
        <v>Antigua and Barbuda</v>
      </c>
      <c r="M103" s="6" t="str">
        <f ca="1">IFERROR(__xludf.DUMMYFUNCTION("""COMPUTED_VALUE"""),"N/A")</f>
        <v>N/A</v>
      </c>
      <c r="N103" s="6" t="str">
        <f ca="1">IFERROR(__xludf.DUMMYFUNCTION("""COMPUTED_VALUE"""),"As part of an agreement signed by the Antiguan and Chinese government, China has signed an agreement to invest USD $250,000 education grant for the construction of a multimedia center at the University of the West Indies Five Islands Campus.")</f>
        <v>As part of an agreement signed by the Antiguan and Chinese government, China has signed an agreement to invest USD $250,000 education grant for the construction of a multimedia center at the University of the West Indies Five Islands Campus.</v>
      </c>
      <c r="O103" s="8">
        <f ca="1">IFERROR(__xludf.DUMMYFUNCTION("""COMPUTED_VALUE"""),43764)</f>
        <v>43764</v>
      </c>
      <c r="P103" s="6" t="str">
        <f ca="1">IFERROR(__xludf.DUMMYFUNCTION("""COMPUTED_VALUE"""),"N/A")</f>
        <v>N/A</v>
      </c>
      <c r="Q103" s="6" t="str">
        <f ca="1">IFERROR(__xludf.DUMMYFUNCTION("""COMPUTED_VALUE"""),"Under construction - unknown")</f>
        <v>Under construction - unknown</v>
      </c>
      <c r="R103" s="6" t="str">
        <f ca="1">IFERROR(__xludf.DUMMYFUNCTION("""COMPUTED_VALUE"""),"SCH")</f>
        <v>SCH</v>
      </c>
      <c r="S103" s="9" t="str">
        <f ca="1">IFERROR(__xludf.DUMMYFUNCTION("""COMPUTED_VALUE"""),"https://gist.github.com/mayadeutchman/379e642c5f90be52d529482110ac800d")</f>
        <v>https://gist.github.com/mayadeutchman/379e642c5f90be52d529482110ac800d</v>
      </c>
      <c r="T103" s="6" t="str">
        <f ca="1">IFERROR(__xludf.DUMMYFUNCTION("""COMPUTED_VALUE"""),"BLOB")</f>
        <v>BLOB</v>
      </c>
      <c r="U103" s="6" t="str">
        <f ca="1">IFERROR(__xludf.DUMMYFUNCTION("""COMPUTED_VALUE"""),"Used satellite imagery and followed google maps")</f>
        <v>Used satellite imagery and followed google maps</v>
      </c>
      <c r="V103" s="6" t="str">
        <f ca="1">IFERROR(__xludf.DUMMYFUNCTION("""COMPUTED_VALUE"""),"Yes (Both)")</f>
        <v>Yes (Both)</v>
      </c>
      <c r="W103" s="6" t="str">
        <f ca="1">IFERROR(__xludf.DUMMYFUNCTION("""COMPUTED_VALUE"""),"Saint John")</f>
        <v>Saint John</v>
      </c>
      <c r="X103" s="6"/>
      <c r="Y103" s="6"/>
      <c r="Z103" s="6"/>
      <c r="AA103" s="6"/>
      <c r="AB103" s="6"/>
      <c r="AC103" s="6"/>
      <c r="AD103" s="6"/>
      <c r="AE103" s="6"/>
      <c r="AF103" s="6"/>
      <c r="AG103" s="6"/>
    </row>
    <row r="104" spans="1:33" ht="52.8" x14ac:dyDescent="0.25">
      <c r="A104" s="6">
        <f ca="1">IFERROR(__xludf.DUMMYFUNCTION("""COMPUTED_VALUE"""),111)</f>
        <v>111</v>
      </c>
      <c r="B104" s="6">
        <f ca="1">IFERROR(__xludf.DUMMYFUNCTION("""COMPUTED_VALUE"""),4)</f>
        <v>4</v>
      </c>
      <c r="C104" s="6" t="str">
        <f ca="1">IFERROR(__xludf.DUMMYFUNCTION("""COMPUTED_VALUE"""),"Mt. Gay Housing project")</f>
        <v>Mt. Gay Housing project</v>
      </c>
      <c r="D104" s="6" t="str">
        <f ca="1">IFERROR(__xludf.DUMMYFUNCTION("""COMPUTED_VALUE"""),"Other Institution")</f>
        <v>Other Institution</v>
      </c>
      <c r="E104" s="6" t="str">
        <f ca="1">IFERROR(__xludf.DUMMYFUNCTION("""COMPUTED_VALUE"""),"Government of China")</f>
        <v>Government of China</v>
      </c>
      <c r="F104" s="6" t="str">
        <f ca="1">IFERROR(__xludf.DUMMYFUNCTION("""COMPUTED_VALUE"""),"Beijing Construction Engineering Group (BCEG)")</f>
        <v>Beijing Construction Engineering Group (BCEG)</v>
      </c>
      <c r="G104" s="6">
        <f ca="1">IFERROR(__xludf.DUMMYFUNCTION("""COMPUTED_VALUE"""),4)</f>
        <v>4</v>
      </c>
      <c r="H104" s="6" t="str">
        <f ca="1">IFERROR(__xludf.DUMMYFUNCTION("""COMPUTED_VALUE"""),"Residential")</f>
        <v>Residential</v>
      </c>
      <c r="I104" s="6" t="str">
        <f ca="1">IFERROR(__xludf.DUMMYFUNCTION("""COMPUTED_VALUE"""),"Grant")</f>
        <v>Grant</v>
      </c>
      <c r="J104" s="7" t="str">
        <f ca="1">IFERROR(__xludf.DUMMYFUNCTION("""COMPUTED_VALUE"""),"$1,300,000 USD")</f>
        <v>$1,300,000 USD</v>
      </c>
      <c r="K104" s="6" t="str">
        <f ca="1">IFERROR(__xludf.DUMMYFUNCTION("""COMPUTED_VALUE"""),"GRD")</f>
        <v>GRD</v>
      </c>
      <c r="L104" s="6" t="str">
        <f ca="1">IFERROR(__xludf.DUMMYFUNCTION("""COMPUTED_VALUE"""),"Grenada")</f>
        <v>Grenada</v>
      </c>
      <c r="M104" s="6" t="str">
        <f ca="1">IFERROR(__xludf.DUMMYFUNCTION("""COMPUTED_VALUE"""),"Mt. Gay community, Grenada")</f>
        <v>Mt. Gay community, Grenada</v>
      </c>
      <c r="N104" s="6" t="str">
        <f ca="1">IFERROR(__xludf.DUMMYFUNCTION("""COMPUTED_VALUE"""),"In 2012 China provided 353 housing units and financial aid of about US $1.3 million to complete the Mt. Gay low-income housing community in Grenada. The housing units were incomplete in 2012 and finished in 2014 with electricity, water, and sewage facilit"&amp;"ies, thus completing phase 1 of the Mt.Gay project. China and Grenada commenced part 2 of the project in 2018, hoping to complete an additional 647 units at 6 sites throughout Grenada. Current construction progress is unknown.")</f>
        <v>In 2012 China provided 353 housing units and financial aid of about US $1.3 million to complete the Mt. Gay low-income housing community in Grenada. The housing units were incomplete in 2012 and finished in 2014 with electricity, water, and sewage facilities, thus completing phase 1 of the Mt.Gay project. China and Grenada commenced part 2 of the project in 2018, hoping to complete an additional 647 units at 6 sites throughout Grenada. Current construction progress is unknown.</v>
      </c>
      <c r="O104" s="6" t="str">
        <f ca="1">IFERROR(__xludf.DUMMYFUNCTION("""COMPUTED_VALUE"""),"08/00/2012")</f>
        <v>08/00/2012</v>
      </c>
      <c r="P104" s="6" t="str">
        <f ca="1">IFERROR(__xludf.DUMMYFUNCTION("""COMPUTED_VALUE"""),"N/A")</f>
        <v>N/A</v>
      </c>
      <c r="Q104" s="6" t="str">
        <f ca="1">IFERROR(__xludf.DUMMYFUNCTION("""COMPUTED_VALUE"""),"Under construction - unknown")</f>
        <v>Under construction - unknown</v>
      </c>
      <c r="R104" s="6" t="str">
        <f ca="1">IFERROR(__xludf.DUMMYFUNCTION("""COMPUTED_VALUE"""),"AREA")</f>
        <v>AREA</v>
      </c>
      <c r="S104" s="6" t="str">
        <f ca="1">IFERROR(__xludf.DUMMYFUNCTION("""COMPUTED_VALUE"""),"GRD_ADM1_2_0_0-B5")</f>
        <v>GRD_ADM1_2_0_0-B5</v>
      </c>
      <c r="T104" s="6" t="str">
        <f ca="1">IFERROR(__xludf.DUMMYFUNCTION("""COMPUTED_VALUE"""),"BLOB")</f>
        <v>BLOB</v>
      </c>
      <c r="U104" s="6" t="str">
        <f ca="1">IFERROR(__xludf.DUMMYFUNCTION("""COMPUTED_VALUE"""),"Coded up to the ADM1 level")</f>
        <v>Coded up to the ADM1 level</v>
      </c>
      <c r="V104" s="6" t="str">
        <f ca="1">IFERROR(__xludf.DUMMYFUNCTION("""COMPUTED_VALUE"""),"Yes (Regional)")</f>
        <v>Yes (Regional)</v>
      </c>
      <c r="W104" s="6" t="str">
        <f ca="1">IFERROR(__xludf.DUMMYFUNCTION("""COMPUTED_VALUE"""),"Saint George")</f>
        <v>Saint George</v>
      </c>
      <c r="X104" s="6"/>
      <c r="Y104" s="6"/>
      <c r="Z104" s="6"/>
      <c r="AA104" s="6"/>
      <c r="AB104" s="6"/>
      <c r="AC104" s="6"/>
      <c r="AD104" s="6"/>
      <c r="AE104" s="6"/>
      <c r="AF104" s="6"/>
      <c r="AG104" s="6"/>
    </row>
    <row r="105" spans="1:33" ht="52.8" x14ac:dyDescent="0.25">
      <c r="A105" s="6">
        <f ca="1">IFERROR(__xludf.DUMMYFUNCTION("""COMPUTED_VALUE"""),112)</f>
        <v>112</v>
      </c>
      <c r="B105" s="6">
        <f ca="1">IFERROR(__xludf.DUMMYFUNCTION("""COMPUTED_VALUE"""),3)</f>
        <v>3</v>
      </c>
      <c r="C105" s="6" t="str">
        <f ca="1">IFERROR(__xludf.DUMMYFUNCTION("""COMPUTED_VALUE"""),"Grenada Resort Complex Project")</f>
        <v>Grenada Resort Complex Project</v>
      </c>
      <c r="D105" s="6" t="str">
        <f ca="1">IFERROR(__xludf.DUMMYFUNCTION("""COMPUTED_VALUE"""),"Other Chinese Institution")</f>
        <v>Other Chinese Institution</v>
      </c>
      <c r="E105" s="6" t="str">
        <f ca="1">IFERROR(__xludf.DUMMYFUNCTION("""COMPUTED_VALUE"""),"United Demi Group")</f>
        <v>United Demi Group</v>
      </c>
      <c r="F105" s="6" t="str">
        <f ca="1">IFERROR(__xludf.DUMMYFUNCTION("""COMPUTED_VALUE"""),"N/A")</f>
        <v>N/A</v>
      </c>
      <c r="G105" s="6">
        <f ca="1">IFERROR(__xludf.DUMMYFUNCTION("""COMPUTED_VALUE"""),9)</f>
        <v>9</v>
      </c>
      <c r="H105" s="6" t="str">
        <f ca="1">IFERROR(__xludf.DUMMYFUNCTION("""COMPUTED_VALUE"""),"Tourism")</f>
        <v>Tourism</v>
      </c>
      <c r="I105" s="6" t="str">
        <f ca="1">IFERROR(__xludf.DUMMYFUNCTION("""COMPUTED_VALUE"""),"Vague")</f>
        <v>Vague</v>
      </c>
      <c r="J105" s="6" t="str">
        <f ca="1">IFERROR(__xludf.DUMMYFUNCTION("""COMPUTED_VALUE"""),"$2,000,000,000 USD")</f>
        <v>$2,000,000,000 USD</v>
      </c>
      <c r="K105" s="6" t="str">
        <f ca="1">IFERROR(__xludf.DUMMYFUNCTION("""COMPUTED_VALUE"""),"GRD")</f>
        <v>GRD</v>
      </c>
      <c r="L105" s="6" t="str">
        <f ca="1">IFERROR(__xludf.DUMMYFUNCTION("""COMPUTED_VALUE"""),"Grenada")</f>
        <v>Grenada</v>
      </c>
      <c r="M105" s="6" t="str">
        <f ca="1">IFERROR(__xludf.DUMMYFUNCTION("""COMPUTED_VALUE"""),"Mt Hartman Peninsula and Hog Island, Grenada")</f>
        <v>Mt Hartman Peninsula and Hog Island, Grenada</v>
      </c>
      <c r="N105" s="6" t="str">
        <f ca="1">IFERROR(__xludf.DUMMYFUNCTION("""COMPUTED_VALUE"""),"Grenada formed a partnership with United Demi Group, a Chinese group, with the help of the Grenadian foreign minister to construct a resort in Grenada. The Grenada Resort Complex Project plans to develop the Mt. Hartman peninsula and Hog Island into high-"&amp;"end resorts, a wellness center, and other recreational features. There are no further details on the progress of the construction. This proposal took place several years before Grenada officially joined the BRI.")</f>
        <v>Grenada formed a partnership with United Demi Group, a Chinese group, with the help of the Grenadian foreign minister to construct a resort in Grenada. The Grenada Resort Complex Project plans to develop the Mt. Hartman peninsula and Hog Island into high-end resorts, a wellness center, and other recreational features. There are no further details on the progress of the construction. This proposal took place several years before Grenada officially joined the BRI.</v>
      </c>
      <c r="O105" s="12">
        <f ca="1">IFERROR(__xludf.DUMMYFUNCTION("""COMPUTED_VALUE"""),42150)</f>
        <v>42150</v>
      </c>
      <c r="P105" s="6" t="str">
        <f ca="1">IFERROR(__xludf.DUMMYFUNCTION("""COMPUTED_VALUE"""),"N/A")</f>
        <v>N/A</v>
      </c>
      <c r="Q105" s="6" t="str">
        <f ca="1">IFERROR(__xludf.DUMMYFUNCTION("""COMPUTED_VALUE"""),"Proposed - formal")</f>
        <v>Proposed - formal</v>
      </c>
      <c r="R105" s="6" t="str">
        <f ca="1">IFERROR(__xludf.DUMMYFUNCTION("""COMPUTED_VALUE"""),"RSRT")</f>
        <v>RSRT</v>
      </c>
      <c r="S105" s="9" t="str">
        <f ca="1">IFERROR(__xludf.DUMMYFUNCTION("""COMPUTED_VALUE"""),"https://gist.github.com/mayadeutchman/7a2823d3ba6194497ecc375550119f93")</f>
        <v>https://gist.github.com/mayadeutchman/7a2823d3ba6194497ecc375550119f93</v>
      </c>
      <c r="T105" s="6" t="str">
        <f ca="1">IFERROR(__xludf.DUMMYFUNCTION("""COMPUTED_VALUE"""),"BLOB")</f>
        <v>BLOB</v>
      </c>
      <c r="U105" s="6" t="str">
        <f ca="1">IFERROR(__xludf.DUMMYFUNCTION("""COMPUTED_VALUE"""),"Used satellite imagery and followed the image in the following source: https://www.nowgrenada.com/2016/03/mt-hartman-development-underway/")</f>
        <v>Used satellite imagery and followed the image in the following source: https://www.nowgrenada.com/2016/03/mt-hartman-development-underway/</v>
      </c>
      <c r="V105" s="6" t="str">
        <f ca="1">IFERROR(__xludf.DUMMYFUNCTION("""COMPUTED_VALUE"""),"Yes (Both)")</f>
        <v>Yes (Both)</v>
      </c>
      <c r="W105" s="6" t="str">
        <f ca="1">IFERROR(__xludf.DUMMYFUNCTION("""COMPUTED_VALUE"""),"Saint George")</f>
        <v>Saint George</v>
      </c>
      <c r="X105" s="6"/>
      <c r="Y105" s="6"/>
      <c r="Z105" s="6"/>
      <c r="AA105" s="6"/>
      <c r="AB105" s="6"/>
      <c r="AC105" s="6"/>
      <c r="AD105" s="6"/>
      <c r="AE105" s="6"/>
      <c r="AF105" s="6"/>
      <c r="AG105" s="6"/>
    </row>
    <row r="106" spans="1:33" ht="52.8" x14ac:dyDescent="0.25">
      <c r="A106" s="6">
        <f ca="1">IFERROR(__xludf.DUMMYFUNCTION("""COMPUTED_VALUE"""),113)</f>
        <v>113</v>
      </c>
      <c r="B106" s="6">
        <f ca="1">IFERROR(__xludf.DUMMYFUNCTION("""COMPUTED_VALUE"""),3)</f>
        <v>3</v>
      </c>
      <c r="C106" s="6" t="str">
        <f ca="1">IFERROR(__xludf.DUMMYFUNCTION("""COMPUTED_VALUE"""),"Grenada BRI MOU")</f>
        <v>Grenada BRI MOU</v>
      </c>
      <c r="D106" s="6" t="str">
        <f ca="1">IFERROR(__xludf.DUMMYFUNCTION("""COMPUTED_VALUE"""),"Other Chinese Institution")</f>
        <v>Other Chinese Institution</v>
      </c>
      <c r="E106" s="6" t="str">
        <f ca="1">IFERROR(__xludf.DUMMYFUNCTION("""COMPUTED_VALUE"""),"N/A")</f>
        <v>N/A</v>
      </c>
      <c r="F106" s="6" t="str">
        <f ca="1">IFERROR(__xludf.DUMMYFUNCTION("""COMPUTED_VALUE"""),"Government of Grenada and the Government of China")</f>
        <v>Government of Grenada and the Government of China</v>
      </c>
      <c r="G106" s="6">
        <f ca="1">IFERROR(__xludf.DUMMYFUNCTION("""COMPUTED_VALUE"""),0)</f>
        <v>0</v>
      </c>
      <c r="H106" s="6" t="str">
        <f ca="1">IFERROR(__xludf.DUMMYFUNCTION("""COMPUTED_VALUE"""),"General")</f>
        <v>General</v>
      </c>
      <c r="I106" s="6" t="str">
        <f ca="1">IFERROR(__xludf.DUMMYFUNCTION("""COMPUTED_VALUE"""),"Vague")</f>
        <v>Vague</v>
      </c>
      <c r="J106" s="6" t="str">
        <f ca="1">IFERROR(__xludf.DUMMYFUNCTION("""COMPUTED_VALUE"""),"$0 USD")</f>
        <v>$0 USD</v>
      </c>
      <c r="K106" s="6" t="str">
        <f ca="1">IFERROR(__xludf.DUMMYFUNCTION("""COMPUTED_VALUE"""),"GRD")</f>
        <v>GRD</v>
      </c>
      <c r="L106" s="6" t="str">
        <f ca="1">IFERROR(__xludf.DUMMYFUNCTION("""COMPUTED_VALUE"""),"Grenada")</f>
        <v>Grenada</v>
      </c>
      <c r="M106" s="6" t="str">
        <f ca="1">IFERROR(__xludf.DUMMYFUNCTION("""COMPUTED_VALUE"""),"N/A")</f>
        <v>N/A</v>
      </c>
      <c r="N106" s="6" t="str">
        <f ca="1">IFERROR(__xludf.DUMMYFUNCTION("""COMPUTED_VALUE"""),"The Government of Grenada and the Government of China signed a Memorandum of Understanding for the Belt and Road initiative (BRI) on September 19th, 2018. This agreement is to help facilitate connectivity and cooperation between China and Grenada through "&amp;"infrastructure investments and financial aid. China's first objective in Grenada is to improve the Grenadian living standard by providing better housing,education, and medical coverage.")</f>
        <v>The Government of Grenada and the Government of China signed a Memorandum of Understanding for the Belt and Road initiative (BRI) on September 19th, 2018. This agreement is to help facilitate connectivity and cooperation between China and Grenada through infrastructure investments and financial aid. China's first objective in Grenada is to improve the Grenadian living standard by providing better housing,education, and medical coverage.</v>
      </c>
      <c r="O106" s="8">
        <f ca="1">IFERROR(__xludf.DUMMYFUNCTION("""COMPUTED_VALUE"""),43361)</f>
        <v>43361</v>
      </c>
      <c r="P106" s="6" t="str">
        <f ca="1">IFERROR(__xludf.DUMMYFUNCTION("""COMPUTED_VALUE"""),"N/A")</f>
        <v>N/A</v>
      </c>
      <c r="Q106" s="6" t="str">
        <f ca="1">IFERROR(__xludf.DUMMYFUNCTION("""COMPUTED_VALUE"""),"Completed")</f>
        <v>Completed</v>
      </c>
      <c r="R106" s="6" t="str">
        <f ca="1">IFERROR(__xludf.DUMMYFUNCTION("""COMPUTED_VALUE"""),"UNM")</f>
        <v>UNM</v>
      </c>
      <c r="S106" s="6" t="str">
        <f ca="1">IFERROR(__xludf.DUMMYFUNCTION("""COMPUTED_VALUE"""),"N/A")</f>
        <v>N/A</v>
      </c>
      <c r="T106" s="6" t="str">
        <f ca="1">IFERROR(__xludf.DUMMYFUNCTION("""COMPUTED_VALUE"""),"UNM")</f>
        <v>UNM</v>
      </c>
      <c r="U106" s="6" t="str">
        <f ca="1">IFERROR(__xludf.DUMMYFUNCTION("""COMPUTED_VALUE"""),"Unmappable")</f>
        <v>Unmappable</v>
      </c>
      <c r="V106" s="6" t="str">
        <f ca="1">IFERROR(__xludf.DUMMYFUNCTION("""COMPUTED_VALUE"""),"No")</f>
        <v>No</v>
      </c>
      <c r="W106" s="6" t="str">
        <f ca="1">IFERROR(__xludf.DUMMYFUNCTION("""COMPUTED_VALUE"""),"NA")</f>
        <v>NA</v>
      </c>
      <c r="X106" s="6" t="str">
        <f ca="1">IFERROR(__xludf.DUMMYFUNCTION("""COMPUTED_VALUE"""),"N/A")</f>
        <v>N/A</v>
      </c>
      <c r="Y106" s="6" t="str">
        <f ca="1">IFERROR(__xludf.DUMMYFUNCTION("""COMPUTED_VALUE"""),"N/A")</f>
        <v>N/A</v>
      </c>
      <c r="Z106" s="6" t="str">
        <f ca="1">IFERROR(__xludf.DUMMYFUNCTION("""COMPUTED_VALUE"""),"N/A")</f>
        <v>N/A</v>
      </c>
      <c r="AA106" s="6"/>
      <c r="AB106" s="6"/>
      <c r="AC106" s="6"/>
      <c r="AD106" s="6"/>
      <c r="AE106" s="6"/>
      <c r="AF106" s="6"/>
      <c r="AG106" s="6"/>
    </row>
    <row r="107" spans="1:33" ht="52.8" x14ac:dyDescent="0.25">
      <c r="A107" s="6">
        <f ca="1">IFERROR(__xludf.DUMMYFUNCTION("""COMPUTED_VALUE"""),115)</f>
        <v>115</v>
      </c>
      <c r="B107" s="6">
        <f ca="1">IFERROR(__xludf.DUMMYFUNCTION("""COMPUTED_VALUE"""),4)</f>
        <v>4</v>
      </c>
      <c r="C107" s="6" t="str">
        <f ca="1">IFERROR(__xludf.DUMMYFUNCTION("""COMPUTED_VALUE"""),"Grenada National Sustainable Development Plan 2035")</f>
        <v>Grenada National Sustainable Development Plan 2035</v>
      </c>
      <c r="D107" s="6" t="str">
        <f ca="1">IFERROR(__xludf.DUMMYFUNCTION("""COMPUTED_VALUE"""),"CDB")</f>
        <v>CDB</v>
      </c>
      <c r="E107" s="6" t="str">
        <f ca="1">IFERROR(__xludf.DUMMYFUNCTION("""COMPUTED_VALUE"""),"N/A")</f>
        <v>N/A</v>
      </c>
      <c r="F107" s="6" t="str">
        <f ca="1">IFERROR(__xludf.DUMMYFUNCTION("""COMPUTED_VALUE"""),"CDB and the Government of Grenada")</f>
        <v>CDB and the Government of Grenada</v>
      </c>
      <c r="G107" s="6">
        <f ca="1">IFERROR(__xludf.DUMMYFUNCTION("""COMPUTED_VALUE"""),1.3)</f>
        <v>1.3</v>
      </c>
      <c r="H107" s="6" t="str">
        <f ca="1">IFERROR(__xludf.DUMMYFUNCTION("""COMPUTED_VALUE"""),"General")</f>
        <v>General</v>
      </c>
      <c r="I107" s="6" t="str">
        <f ca="1">IFERROR(__xludf.DUMMYFUNCTION("""COMPUTED_VALUE"""),"Vague")</f>
        <v>Vague</v>
      </c>
      <c r="J107" s="6" t="str">
        <f ca="1">IFERROR(__xludf.DUMMYFUNCTION("""COMPUTED_VALUE"""),"N/A")</f>
        <v>N/A</v>
      </c>
      <c r="K107" s="6" t="str">
        <f ca="1">IFERROR(__xludf.DUMMYFUNCTION("""COMPUTED_VALUE"""),"GRD")</f>
        <v>GRD</v>
      </c>
      <c r="L107" s="6" t="str">
        <f ca="1">IFERROR(__xludf.DUMMYFUNCTION("""COMPUTED_VALUE"""),"Grenada")</f>
        <v>Grenada</v>
      </c>
      <c r="M107" s="6" t="str">
        <f ca="1">IFERROR(__xludf.DUMMYFUNCTION("""COMPUTED_VALUE"""),"N/A")</f>
        <v>N/A</v>
      </c>
      <c r="N107" s="6" t="str">
        <f ca="1">IFERROR(__xludf.DUMMYFUNCTION("""COMPUTED_VALUE"""),"The Chinese Development Bank is helping Grenada draft a sustainable national development plan as a protection from foreign governments. The Chinese blueprint suggests the construction of infrastructure projects such as highways, a railway line, deepwater "&amp;"ports for cruise and cargo ships, large wind farms, diesel-fuelled generators, and a modernized airport. This project occured nine months before Grenada officially joined the BRI.")</f>
        <v>The Chinese Development Bank is helping Grenada draft a sustainable national development plan as a protection from foreign governments. The Chinese blueprint suggests the construction of infrastructure projects such as highways, a railway line, deepwater ports for cruise and cargo ships, large wind farms, diesel-fuelled generators, and a modernized airport. This project occured nine months before Grenada officially joined the BRI.</v>
      </c>
      <c r="O107" s="6" t="str">
        <f ca="1">IFERROR(__xludf.DUMMYFUNCTION("""COMPUTED_VALUE"""),"12/00/2017")</f>
        <v>12/00/2017</v>
      </c>
      <c r="P107" s="6" t="str">
        <f ca="1">IFERROR(__xludf.DUMMYFUNCTION("""COMPUTED_VALUE"""),"N/A")</f>
        <v>N/A</v>
      </c>
      <c r="Q107" s="6" t="str">
        <f ca="1">IFERROR(__xludf.DUMMYFUNCTION("""COMPUTED_VALUE"""),"Proposed - formal")</f>
        <v>Proposed - formal</v>
      </c>
      <c r="R107" s="6" t="str">
        <f ca="1">IFERROR(__xludf.DUMMYFUNCTION("""COMPUTED_VALUE"""),"UNM")</f>
        <v>UNM</v>
      </c>
      <c r="S107" s="6" t="str">
        <f ca="1">IFERROR(__xludf.DUMMYFUNCTION("""COMPUTED_VALUE"""),"N/A")</f>
        <v>N/A</v>
      </c>
      <c r="T107" s="6" t="str">
        <f ca="1">IFERROR(__xludf.DUMMYFUNCTION("""COMPUTED_VALUE"""),"UNM")</f>
        <v>UNM</v>
      </c>
      <c r="U107" s="6" t="str">
        <f ca="1">IFERROR(__xludf.DUMMYFUNCTION("""COMPUTED_VALUE"""),"Unmappable")</f>
        <v>Unmappable</v>
      </c>
      <c r="V107" s="6" t="str">
        <f ca="1">IFERROR(__xludf.DUMMYFUNCTION("""COMPUTED_VALUE"""),"No")</f>
        <v>No</v>
      </c>
      <c r="W107" s="6" t="str">
        <f ca="1">IFERROR(__xludf.DUMMYFUNCTION("""COMPUTED_VALUE"""),"NA")</f>
        <v>NA</v>
      </c>
      <c r="X107" s="6" t="str">
        <f ca="1">IFERROR(__xludf.DUMMYFUNCTION("""COMPUTED_VALUE"""),"N/A")</f>
        <v>N/A</v>
      </c>
      <c r="Y107" s="6" t="str">
        <f ca="1">IFERROR(__xludf.DUMMYFUNCTION("""COMPUTED_VALUE"""),"N/A")</f>
        <v>N/A</v>
      </c>
      <c r="Z107" s="6" t="str">
        <f ca="1">IFERROR(__xludf.DUMMYFUNCTION("""COMPUTED_VALUE"""),"N/A")</f>
        <v>N/A</v>
      </c>
      <c r="AA107" s="6"/>
      <c r="AB107" s="6"/>
      <c r="AC107" s="6"/>
      <c r="AD107" s="6"/>
      <c r="AE107" s="6"/>
      <c r="AF107" s="6"/>
      <c r="AG107" s="6"/>
    </row>
    <row r="108" spans="1:33" ht="118.8" x14ac:dyDescent="0.25">
      <c r="A108" s="6">
        <f ca="1">IFERROR(__xludf.DUMMYFUNCTION("""COMPUTED_VALUE"""),116)</f>
        <v>116</v>
      </c>
      <c r="B108" s="6">
        <f ca="1">IFERROR(__xludf.DUMMYFUNCTION("""COMPUTED_VALUE"""),4)</f>
        <v>4</v>
      </c>
      <c r="C108" s="6" t="str">
        <f ca="1">IFERROR(__xludf.DUMMYFUNCTION("""COMPUTED_VALUE"""),"Windsor Park Sports Stadium ")</f>
        <v xml:space="preserve">Windsor Park Sports Stadium </v>
      </c>
      <c r="D108" s="6" t="str">
        <f ca="1">IFERROR(__xludf.DUMMYFUNCTION("""COMPUTED_VALUE"""),"Other Chinese Institution")</f>
        <v>Other Chinese Institution</v>
      </c>
      <c r="E108" s="6" t="str">
        <f ca="1">IFERROR(__xludf.DUMMYFUNCTION("""COMPUTED_VALUE"""),"Government of the People’s Republic of China")</f>
        <v>Government of the People’s Republic of China</v>
      </c>
      <c r="F108" s="6" t="str">
        <f ca="1">IFERROR(__xludf.DUMMYFUNCTION("""COMPUTED_VALUE"""),"Chinese Construction Company- China Civil Engineering Construction Corporation and the Chinese Consulting Firm, Wuhan Architectural and Design Institute.")</f>
        <v>Chinese Construction Company- China Civil Engineering Construction Corporation and the Chinese Consulting Firm, Wuhan Architectural and Design Institute.</v>
      </c>
      <c r="G108" s="6">
        <f ca="1">IFERROR(__xludf.DUMMYFUNCTION("""COMPUTED_VALUE"""),4)</f>
        <v>4</v>
      </c>
      <c r="H108" s="6" t="str">
        <f ca="1">IFERROR(__xludf.DUMMYFUNCTION("""COMPUTED_VALUE"""),"Recreational")</f>
        <v>Recreational</v>
      </c>
      <c r="I108" s="6" t="str">
        <f ca="1">IFERROR(__xludf.DUMMYFUNCTION("""COMPUTED_VALUE"""),"Grant")</f>
        <v>Grant</v>
      </c>
      <c r="J108" s="6" t="str">
        <f ca="1">IFERROR(__xludf.DUMMYFUNCTION("""COMPUTED_VALUE"""),"$12,210,689.70 USD")</f>
        <v>$12,210,689.70 USD</v>
      </c>
      <c r="K108" s="6" t="str">
        <f ca="1">IFERROR(__xludf.DUMMYFUNCTION("""COMPUTED_VALUE"""),"DMA")</f>
        <v>DMA</v>
      </c>
      <c r="L108" s="6" t="str">
        <f ca="1">IFERROR(__xludf.DUMMYFUNCTION("""COMPUTED_VALUE"""),"Dominica")</f>
        <v>Dominica</v>
      </c>
      <c r="M108" s="6" t="str">
        <f ca="1">IFERROR(__xludf.DUMMYFUNCTION("""COMPUTED_VALUE"""),"Roseau, Dominica")</f>
        <v>Roseau, Dominica</v>
      </c>
      <c r="N108" s="6" t="str">
        <f ca="1">IFERROR(__xludf.DUMMYFUNCTION("""COMPUTED_VALUE"""),"Sources give conflicting numbers on how much this activity cost. Two have identified that the stadium was EC $33,000,000, which at a conversion of 1 East Caribbean Dollar to $0.37 USD is $12,210,689.70.")</f>
        <v>Sources give conflicting numbers on how much this activity cost. Two have identified that the stadium was EC $33,000,000, which at a conversion of 1 East Caribbean Dollar to $0.37 USD is $12,210,689.70.</v>
      </c>
      <c r="O108" s="12">
        <f ca="1">IFERROR(__xludf.DUMMYFUNCTION("""COMPUTED_VALUE"""),38434)</f>
        <v>38434</v>
      </c>
      <c r="P108" s="12">
        <f ca="1">IFERROR(__xludf.DUMMYFUNCTION("""COMPUTED_VALUE"""),39120)</f>
        <v>39120</v>
      </c>
      <c r="Q108" s="6" t="str">
        <f ca="1">IFERROR(__xludf.DUMMYFUNCTION("""COMPUTED_VALUE"""),"Completed")</f>
        <v>Completed</v>
      </c>
      <c r="R108" s="6" t="str">
        <f ca="1">IFERROR(__xludf.DUMMYFUNCTION("""COMPUTED_VALUE"""),"STDM")</f>
        <v>STDM</v>
      </c>
      <c r="S108" s="9" t="str">
        <f ca="1">IFERROR(__xludf.DUMMYFUNCTION("""COMPUTED_VALUE"""),"https://gist.github.com/mayadeutchman/19c469690e46f6537c5807496f2e25ff")</f>
        <v>https://gist.github.com/mayadeutchman/19c469690e46f6537c5807496f2e25ff</v>
      </c>
      <c r="T108" s="6" t="str">
        <f ca="1">IFERROR(__xludf.DUMMYFUNCTION("""COMPUTED_VALUE"""),"BLOB")</f>
        <v>BLOB</v>
      </c>
      <c r="U108" s="6" t="str">
        <f ca="1">IFERROR(__xludf.DUMMYFUNCTION("""COMPUTED_VALUE"""),"Used satellite imagery and followed google maps")</f>
        <v>Used satellite imagery and followed google maps</v>
      </c>
      <c r="V108" s="6" t="str">
        <f ca="1">IFERROR(__xludf.DUMMYFUNCTION("""COMPUTED_VALUE"""),"Yes (Both)")</f>
        <v>Yes (Both)</v>
      </c>
      <c r="W108" s="6" t="str">
        <f ca="1">IFERROR(__xludf.DUMMYFUNCTION("""COMPUTED_VALUE"""),"Saint George Parish")</f>
        <v>Saint George Parish</v>
      </c>
      <c r="X108" s="6"/>
      <c r="Y108" s="6"/>
      <c r="Z108" s="6"/>
      <c r="AA108" s="6"/>
      <c r="AB108" s="6"/>
      <c r="AC108" s="6"/>
      <c r="AD108" s="6"/>
      <c r="AE108" s="6"/>
      <c r="AF108" s="6"/>
      <c r="AG108" s="6"/>
    </row>
    <row r="109" spans="1:33" ht="52.8" x14ac:dyDescent="0.25">
      <c r="A109" s="6">
        <f ca="1">IFERROR(__xludf.DUMMYFUNCTION("""COMPUTED_VALUE"""),117)</f>
        <v>117</v>
      </c>
      <c r="B109" s="6">
        <f ca="1">IFERROR(__xludf.DUMMYFUNCTION("""COMPUTED_VALUE"""),4)</f>
        <v>4</v>
      </c>
      <c r="C109" s="6" t="str">
        <f ca="1">IFERROR(__xludf.DUMMYFUNCTION("""COMPUTED_VALUE"""),"The Couva Children's Hospital and Multi-Training Facility")</f>
        <v>The Couva Children's Hospital and Multi-Training Facility</v>
      </c>
      <c r="D109" s="6" t="str">
        <f ca="1">IFERROR(__xludf.DUMMYFUNCTION("""COMPUTED_VALUE"""),"CHEXIM")</f>
        <v>CHEXIM</v>
      </c>
      <c r="E109" s="6" t="str">
        <f ca="1">IFERROR(__xludf.DUMMYFUNCTION("""COMPUTED_VALUE"""),"Export Import Bank of China")</f>
        <v>Export Import Bank of China</v>
      </c>
      <c r="F109" s="6" t="str">
        <f ca="1">IFERROR(__xludf.DUMMYFUNCTION("""COMPUTED_VALUE"""),"Shanghai Construction Group and China Railway")</f>
        <v>Shanghai Construction Group and China Railway</v>
      </c>
      <c r="G109" s="6">
        <f ca="1">IFERROR(__xludf.DUMMYFUNCTION("""COMPUTED_VALUE"""),1.1)</f>
        <v>1.1000000000000001</v>
      </c>
      <c r="H109" s="6" t="str">
        <f ca="1">IFERROR(__xludf.DUMMYFUNCTION("""COMPUTED_VALUE"""),"Medical")</f>
        <v>Medical</v>
      </c>
      <c r="I109" s="6" t="str">
        <f ca="1">IFERROR(__xludf.DUMMYFUNCTION("""COMPUTED_VALUE"""),"Loan")</f>
        <v>Loan</v>
      </c>
      <c r="J109" s="6" t="str">
        <f ca="1">IFERROR(__xludf.DUMMYFUNCTION("""COMPUTED_VALUE"""),"$150,000,000 USD")</f>
        <v>$150,000,000 USD</v>
      </c>
      <c r="K109" s="6" t="str">
        <f ca="1">IFERROR(__xludf.DUMMYFUNCTION("""COMPUTED_VALUE"""),"TTO")</f>
        <v>TTO</v>
      </c>
      <c r="L109" s="6" t="str">
        <f ca="1">IFERROR(__xludf.DUMMYFUNCTION("""COMPUTED_VALUE"""),"Trinidad and Tobago")</f>
        <v>Trinidad and Tobago</v>
      </c>
      <c r="M109" s="6" t="str">
        <f ca="1">IFERROR(__xludf.DUMMYFUNCTION("""COMPUTED_VALUE"""),"Port of Spain, TTO")</f>
        <v>Port of Spain, TTO</v>
      </c>
      <c r="N109" s="6" t="str">
        <f ca="1">IFERROR(__xludf.DUMMYFUNCTION("""COMPUTED_VALUE"""),"Sources give multiple different costs for the hospital. AidData says that ""On December 28, 2012, China offered a loan of USD $150 million to TTO for development of the proposed Children's Hospital in Couva."" TTO media sources have said it costs $1.6 bil"&amp;"lion TT. This is a BRI project because TTO has signed a MoU for the BRI, the financier for the projext, CHEXIM, is a state-owned policy bank, and the implementers, Shanghai Construction Group and China Railway, are run by China's State Council (SASAC).")</f>
        <v>Sources give multiple different costs for the hospital. AidData says that "On December 28, 2012, China offered a loan of USD $150 million to TTO for development of the proposed Children's Hospital in Couva." TTO media sources have said it costs $1.6 billion TT. This is a BRI project because TTO has signed a MoU for the BRI, the financier for the projext, CHEXIM, is a state-owned policy bank, and the implementers, Shanghai Construction Group and China Railway, are run by China's State Council (SASAC).</v>
      </c>
      <c r="O109" s="16">
        <f ca="1">IFERROR(__xludf.DUMMYFUNCTION("""COMPUTED_VALUE"""),41426)</f>
        <v>41426</v>
      </c>
      <c r="P109" s="15">
        <f ca="1">IFERROR(__xludf.DUMMYFUNCTION("""COMPUTED_VALUE"""),42230)</f>
        <v>42230</v>
      </c>
      <c r="Q109" s="6" t="str">
        <f ca="1">IFERROR(__xludf.DUMMYFUNCTION("""COMPUTED_VALUE"""),"Completed")</f>
        <v>Completed</v>
      </c>
      <c r="R109" s="6" t="str">
        <f ca="1">IFERROR(__xludf.DUMMYFUNCTION("""COMPUTED_VALUE"""),"HSP")</f>
        <v>HSP</v>
      </c>
      <c r="S109" s="9" t="str">
        <f ca="1">IFERROR(__xludf.DUMMYFUNCTION("""COMPUTED_VALUE"""),"https://gist.github.com/mayadeutchman/7bbd8910fa13bdee088a535e998ecebf")</f>
        <v>https://gist.github.com/mayadeutchman/7bbd8910fa13bdee088a535e998ecebf</v>
      </c>
      <c r="T109" s="6" t="str">
        <f ca="1">IFERROR(__xludf.DUMMYFUNCTION("""COMPUTED_VALUE"""),"BLOB")</f>
        <v>BLOB</v>
      </c>
      <c r="U109" s="6" t="str">
        <f ca="1">IFERROR(__xludf.DUMMYFUNCTION("""COMPUTED_VALUE"""),"Used satellite imagery and followed google maps")</f>
        <v>Used satellite imagery and followed google maps</v>
      </c>
      <c r="V109" s="6" t="str">
        <f ca="1">IFERROR(__xludf.DUMMYFUNCTION("""COMPUTED_VALUE"""),"Yes (Both)")</f>
        <v>Yes (Both)</v>
      </c>
      <c r="W109" s="6" t="str">
        <f ca="1">IFERROR(__xludf.DUMMYFUNCTION("""COMPUTED_VALUE"""),"Couva-Tabaquite-Talparo")</f>
        <v>Couva-Tabaquite-Talparo</v>
      </c>
      <c r="X109" s="6"/>
      <c r="Y109" s="6"/>
      <c r="Z109" s="6"/>
      <c r="AA109" s="6"/>
      <c r="AB109" s="6"/>
      <c r="AC109" s="6"/>
      <c r="AD109" s="6"/>
      <c r="AE109" s="6"/>
      <c r="AF109" s="6"/>
      <c r="AG109" s="6"/>
    </row>
    <row r="110" spans="1:33" ht="79.2" x14ac:dyDescent="0.25">
      <c r="A110" s="6">
        <f ca="1">IFERROR(__xludf.DUMMYFUNCTION("""COMPUTED_VALUE"""),118)</f>
        <v>118</v>
      </c>
      <c r="B110" s="6">
        <f ca="1">IFERROR(__xludf.DUMMYFUNCTION("""COMPUTED_VALUE"""),3)</f>
        <v>3</v>
      </c>
      <c r="C110" s="6" t="str">
        <f ca="1">IFERROR(__xludf.DUMMYFUNCTION("""COMPUTED_VALUE"""),"La Brea Shipyard ")</f>
        <v xml:space="preserve">La Brea Shipyard </v>
      </c>
      <c r="D110" s="6" t="str">
        <f ca="1">IFERROR(__xludf.DUMMYFUNCTION("""COMPUTED_VALUE"""),"CHEXIM")</f>
        <v>CHEXIM</v>
      </c>
      <c r="E110" s="6" t="str">
        <f ca="1">IFERROR(__xludf.DUMMYFUNCTION("""COMPUTED_VALUE"""),"Government of the People’s Republic of China")</f>
        <v>Government of the People’s Republic of China</v>
      </c>
      <c r="F110" s="6" t="str">
        <f ca="1">IFERROR(__xludf.DUMMYFUNCTION("""COMPUTED_VALUE"""),"China Harbour Engineering Company")</f>
        <v>China Harbour Engineering Company</v>
      </c>
      <c r="G110" s="6">
        <f ca="1">IFERROR(__xludf.DUMMYFUNCTION("""COMPUTED_VALUE"""),1.1)</f>
        <v>1.1000000000000001</v>
      </c>
      <c r="H110" s="6" t="str">
        <f ca="1">IFERROR(__xludf.DUMMYFUNCTION("""COMPUTED_VALUE"""),"Port")</f>
        <v>Port</v>
      </c>
      <c r="I110" s="6" t="str">
        <f ca="1">IFERROR(__xludf.DUMMYFUNCTION("""COMPUTED_VALUE"""),"Loan")</f>
        <v>Loan</v>
      </c>
      <c r="J110" s="6" t="str">
        <f ca="1">IFERROR(__xludf.DUMMYFUNCTION("""COMPUTED_VALUE"""),"$500,000,000 USD")</f>
        <v>$500,000,000 USD</v>
      </c>
      <c r="K110" s="6" t="str">
        <f ca="1">IFERROR(__xludf.DUMMYFUNCTION("""COMPUTED_VALUE"""),"TTO")</f>
        <v>TTO</v>
      </c>
      <c r="L110" s="6" t="str">
        <f ca="1">IFERROR(__xludf.DUMMYFUNCTION("""COMPUTED_VALUE"""),"Trinidad and Tobago")</f>
        <v>Trinidad and Tobago</v>
      </c>
      <c r="M110" s="6" t="str">
        <f ca="1">IFERROR(__xludf.DUMMYFUNCTION("""COMPUTED_VALUE"""),"La Brea, southern end of the Gulf of Paria on Trinidad’s west coast")</f>
        <v>La Brea, southern end of the Gulf of Paria on Trinidad’s west coast</v>
      </c>
      <c r="N110" s="6" t="str">
        <f ca="1">IFERROR(__xludf.DUMMYFUNCTION("""COMPUTED_VALUE"""),"La Brea dry docking facility and the National Infrastructure Development Company and China Harbour Engineering Company have executed a cooperation agreement for the development over a three year period at a cost of US $500 million and construction activit"&amp;"y will include deep water channel excavation, offshore reclamation and terminal land construction. This is a BRI project because TTO has signed a MoU for the BRI, the financier for the project is the Chinese government, and the implementer, CHEC, is a sub"&amp;"sidiary of the state-owned CCCC.")</f>
        <v>La Brea dry docking facility and the National Infrastructure Development Company and China Harbour Engineering Company have executed a cooperation agreement for the development over a three year period at a cost of US $500 million and construction activity will include deep water channel excavation, offshore reclamation and terminal land construction. This is a BRI project because TTO has signed a MoU for the BRI, the financier for the project is the Chinese government, and the implementer, CHEC, is a subsidiary of the state-owned CCCC.</v>
      </c>
      <c r="O110" s="16">
        <f ca="1">IFERROR(__xludf.DUMMYFUNCTION("""COMPUTED_VALUE"""),43350)</f>
        <v>43350</v>
      </c>
      <c r="P110" s="6" t="str">
        <f ca="1">IFERROR(__xludf.DUMMYFUNCTION("""COMPUTED_VALUE"""),"N/A  ")</f>
        <v xml:space="preserve">N/A  </v>
      </c>
      <c r="Q110" s="6" t="str">
        <f ca="1">IFERROR(__xludf.DUMMYFUNCTION("""COMPUTED_VALUE"""),"Delayed")</f>
        <v>Delayed</v>
      </c>
      <c r="R110" s="6" t="str">
        <f ca="1">IFERROR(__xludf.DUMMYFUNCTION("""COMPUTED_VALUE"""),"PRT")</f>
        <v>PRT</v>
      </c>
      <c r="S110" s="9" t="str">
        <f ca="1">IFERROR(__xludf.DUMMYFUNCTION("""COMPUTED_VALUE"""),"https://gist.github.com/micrittenden/1d87371854fc3992b5d6403532a3faa4")</f>
        <v>https://gist.github.com/micrittenden/1d87371854fc3992b5d6403532a3faa4</v>
      </c>
      <c r="T110" s="6" t="str">
        <f ca="1">IFERROR(__xludf.DUMMYFUNCTION("""COMPUTED_VALUE"""),"BLOB")</f>
        <v>BLOB</v>
      </c>
      <c r="U110" s="6" t="str">
        <f ca="1">IFERROR(__xludf.DUMMYFUNCTION("""COMPUTED_VALUE"""),"Used promotional youtube video https://www.youtube.com/watch?v=Ezu3bt0kPz8, satellite imagery and followed google maps")</f>
        <v>Used promotional youtube video https://www.youtube.com/watch?v=Ezu3bt0kPz8, satellite imagery and followed google maps</v>
      </c>
      <c r="V110" s="6" t="str">
        <f ca="1">IFERROR(__xludf.DUMMYFUNCTION("""COMPUTED_VALUE"""),"Yes (Both)")</f>
        <v>Yes (Both)</v>
      </c>
      <c r="W110" s="6" t="str">
        <f ca="1">IFERROR(__xludf.DUMMYFUNCTION("""COMPUTED_VALUE"""),"Siparia")</f>
        <v>Siparia</v>
      </c>
      <c r="X110" s="6" t="str">
        <f ca="1">IFERROR(__xludf.DUMMYFUNCTION("""COMPUTED_VALUE"""),"12/13/2017 | 02/05/2018 | 01/08/2020")</f>
        <v>12/13/2017 | 02/05/2018 | 01/08/2020</v>
      </c>
      <c r="Y110" s="6" t="str">
        <f ca="1">IFERROR(__xludf.DUMMYFUNCTION("""COMPUTED_VALUE"""),"This is the construction site of the expansion of the La Brea Shipyard, which currently has a 720m-long quay. Right now construction is halted but the Government of T&amp;T promises that the port will be built eventually. ")</f>
        <v xml:space="preserve">This is the construction site of the expansion of the La Brea Shipyard, which currently has a 720m-long quay. Right now construction is halted but the Government of T&amp;T promises that the port will be built eventually. </v>
      </c>
      <c r="Z110" s="6" t="str">
        <f ca="1">IFERROR(__xludf.DUMMYFUNCTION("""COMPUTED_VALUE"""),"LAT: 10.2479 LON: -61.6305")</f>
        <v>LAT: 10.2479 LON: -61.6305</v>
      </c>
      <c r="AA110" s="6"/>
      <c r="AB110" s="6"/>
      <c r="AC110" s="6"/>
      <c r="AD110" s="6"/>
      <c r="AE110" s="6"/>
      <c r="AF110" s="6"/>
      <c r="AG110" s="6"/>
    </row>
    <row r="111" spans="1:33" ht="118.8" x14ac:dyDescent="0.25">
      <c r="A111" s="6">
        <f ca="1">IFERROR(__xludf.DUMMYFUNCTION("""COMPUTED_VALUE"""),119)</f>
        <v>119</v>
      </c>
      <c r="B111" s="6">
        <f ca="1">IFERROR(__xludf.DUMMYFUNCTION("""COMPUTED_VALUE"""),5)</f>
        <v>5</v>
      </c>
      <c r="C111" s="6" t="str">
        <f ca="1">IFERROR(__xludf.DUMMYFUNCTION("""COMPUTED_VALUE"""),"Phoenix Park Industrial Estate")</f>
        <v>Phoenix Park Industrial Estate</v>
      </c>
      <c r="D111" s="6" t="str">
        <f ca="1">IFERROR(__xludf.DUMMYFUNCTION("""COMPUTED_VALUE"""),"CHEXIM")</f>
        <v>CHEXIM</v>
      </c>
      <c r="E111" s="6" t="str">
        <f ca="1">IFERROR(__xludf.DUMMYFUNCTION("""COMPUTED_VALUE"""),"CHEXIM")</f>
        <v>CHEXIM</v>
      </c>
      <c r="F111" s="6" t="str">
        <f ca="1">IFERROR(__xludf.DUMMYFUNCTION("""COMPUTED_VALUE"""),"Beijing Construction Engineering Company, Lake Asphalt of Trinidad and Tobago Ltd., and Evolving Tecknologies and Enterprise Development Company Ltd (eTeck)")</f>
        <v>Beijing Construction Engineering Company, Lake Asphalt of Trinidad and Tobago Ltd., and Evolving Tecknologies and Enterprise Development Company Ltd (eTeck)</v>
      </c>
      <c r="G111" s="6">
        <f ca="1">IFERROR(__xludf.DUMMYFUNCTION("""COMPUTED_VALUE"""),1.3)</f>
        <v>1.3</v>
      </c>
      <c r="H111" s="6" t="str">
        <f ca="1">IFERROR(__xludf.DUMMYFUNCTION("""COMPUTED_VALUE"""),"Manufacturing / Production")</f>
        <v>Manufacturing / Production</v>
      </c>
      <c r="I111" s="6" t="str">
        <f ca="1">IFERROR(__xludf.DUMMYFUNCTION("""COMPUTED_VALUE"""),"Loan")</f>
        <v>Loan</v>
      </c>
      <c r="J111" s="6" t="str">
        <f ca="1">IFERROR(__xludf.DUMMYFUNCTION("""COMPUTED_VALUE"""),"$104,000,000 USD")</f>
        <v>$104,000,000 USD</v>
      </c>
      <c r="K111" s="6" t="str">
        <f ca="1">IFERROR(__xludf.DUMMYFUNCTION("""COMPUTED_VALUE"""),"TTO")</f>
        <v>TTO</v>
      </c>
      <c r="L111" s="6" t="str">
        <f ca="1">IFERROR(__xludf.DUMMYFUNCTION("""COMPUTED_VALUE"""),"Trinidad and Tobago")</f>
        <v>Trinidad and Tobago</v>
      </c>
      <c r="M111" s="6" t="str">
        <f ca="1">IFERROR(__xludf.DUMMYFUNCTION("""COMPUTED_VALUE"""),"Phoenix Park, Point Lisas, Couva, Trinidad")</f>
        <v>Phoenix Park, Point Lisas, Couva, Trinidad</v>
      </c>
      <c r="N111" s="6" t="str">
        <f ca="1">IFERROR(__xludf.DUMMYFUNCTION("""COMPUTED_VALUE"""),"The Beijing Construction Engineering Group has guaranteed the operations of at least ten (10) Chinese firms. To date, there is interest in the areas of manufacturing of glass powder, air conditioners and ceramics, paper converting operations, wood process"&amp;"ing, communication equipment, building materials, integrated housing manufacturing and food processing. Original plan was for construction to begin in January of 2019. However, according to an article (346) on Jan 28, 2020, construction was to begin ""nex"&amp;"t month"". The agreement for the concessional loan was signed in November 2019, however construction has not commenced. Once construction starts, completion is expected within 12 months. Located in Point Lisas - 10 min away from the Port of Point Lisas. T"&amp;"his is a BRI project because TTO has signed a MoU for the BRI and the financier for the project, CHEXIM, is a state-owned policy bank.")</f>
        <v>The Beijing Construction Engineering Group has guaranteed the operations of at least ten (10) Chinese firms. To date, there is interest in the areas of manufacturing of glass powder, air conditioners and ceramics, paper converting operations, wood processing, communication equipment, building materials, integrated housing manufacturing and food processing. Original plan was for construction to begin in January of 2019. However, according to an article (346) on Jan 28, 2020, construction was to begin "next month". The agreement for the concessional loan was signed in November 2019, however construction has not commenced. Once construction starts, completion is expected within 12 months. Located in Point Lisas - 10 min away from the Port of Point Lisas. This is a BRI project because TTO has signed a MoU for the BRI and the financier for the project, CHEXIM, is a state-owned policy bank.</v>
      </c>
      <c r="O111" s="6" t="str">
        <f ca="1">IFERROR(__xludf.DUMMYFUNCTION("""COMPUTED_VALUE"""),"10/00/2019")</f>
        <v>10/00/2019</v>
      </c>
      <c r="P111" s="6" t="str">
        <f ca="1">IFERROR(__xludf.DUMMYFUNCTION("""COMPUTED_VALUE"""),"N/A")</f>
        <v>N/A</v>
      </c>
      <c r="Q111" s="6" t="str">
        <f ca="1">IFERROR(__xludf.DUMMYFUNCTION("""COMPUTED_VALUE"""),"Delayed")</f>
        <v>Delayed</v>
      </c>
      <c r="R111" s="6" t="str">
        <f ca="1">IFERROR(__xludf.DUMMYFUNCTION("""COMPUTED_VALUE"""),"INDS")</f>
        <v>INDS</v>
      </c>
      <c r="S111" s="9" t="str">
        <f ca="1">IFERROR(__xludf.DUMMYFUNCTION("""COMPUTED_VALUE"""),"https://gist.github.com/mayadeutchman/2eda4bb9fe5aa2e561196823ea4ea1da")</f>
        <v>https://gist.github.com/mayadeutchman/2eda4bb9fe5aa2e561196823ea4ea1da</v>
      </c>
      <c r="T111" s="6" t="str">
        <f ca="1">IFERROR(__xludf.DUMMYFUNCTION("""COMPUTED_VALUE"""),"BLOB")</f>
        <v>BLOB</v>
      </c>
      <c r="U111" s="6" t="str">
        <f ca="1">IFERROR(__xludf.DUMMYFUNCTION("""COMPUTED_VALUE"""),"Used satellite imagery, followed google maps, and used the image in the following article: http://www.classifieds.guardian.co.tt/business/2014-04-20/negative-stable")</f>
        <v>Used satellite imagery, followed google maps, and used the image in the following article: http://www.classifieds.guardian.co.tt/business/2014-04-20/negative-stable</v>
      </c>
      <c r="V111" s="6" t="str">
        <f ca="1">IFERROR(__xludf.DUMMYFUNCTION("""COMPUTED_VALUE"""),"Yes (Both)")</f>
        <v>Yes (Both)</v>
      </c>
      <c r="W111" s="6" t="str">
        <f ca="1">IFERROR(__xludf.DUMMYFUNCTION("""COMPUTED_VALUE"""),"Couva-Tabaquite-Talparo")</f>
        <v>Couva-Tabaquite-Talparo</v>
      </c>
      <c r="X111" s="6"/>
      <c r="Y111" s="6"/>
      <c r="Z111" s="6"/>
      <c r="AA111" s="6"/>
      <c r="AB111" s="6"/>
      <c r="AC111" s="6"/>
      <c r="AD111" s="6"/>
      <c r="AE111" s="6"/>
      <c r="AF111" s="6"/>
      <c r="AG111" s="6"/>
    </row>
    <row r="112" spans="1:33" ht="39.6" x14ac:dyDescent="0.25">
      <c r="A112" s="6">
        <f ca="1">IFERROR(__xludf.DUMMYFUNCTION("""COMPUTED_VALUE"""),120)</f>
        <v>120</v>
      </c>
      <c r="B112" s="6">
        <f ca="1">IFERROR(__xludf.DUMMYFUNCTION("""COMPUTED_VALUE"""),2)</f>
        <v>2</v>
      </c>
      <c r="C112" s="6" t="str">
        <f ca="1">IFERROR(__xludf.DUMMYFUNCTION("""COMPUTED_VALUE"""),"Coronavirus aid to the Bahamas")</f>
        <v>Coronavirus aid to the Bahamas</v>
      </c>
      <c r="D112" s="6" t="str">
        <f ca="1">IFERROR(__xludf.DUMMYFUNCTION("""COMPUTED_VALUE"""),"Other Chinese Institution")</f>
        <v>Other Chinese Institution</v>
      </c>
      <c r="E112" s="6" t="str">
        <f ca="1">IFERROR(__xludf.DUMMYFUNCTION("""COMPUTED_VALUE"""),"Government of the People’s Republic of China")</f>
        <v>Government of the People’s Republic of China</v>
      </c>
      <c r="F112" s="6" t="str">
        <f ca="1">IFERROR(__xludf.DUMMYFUNCTION("""COMPUTED_VALUE"""),"Government of the Bahamas")</f>
        <v>Government of the Bahamas</v>
      </c>
      <c r="G112" s="6">
        <f ca="1">IFERROR(__xludf.DUMMYFUNCTION("""COMPUTED_VALUE"""),8)</f>
        <v>8</v>
      </c>
      <c r="H112" s="6" t="str">
        <f ca="1">IFERROR(__xludf.DUMMYFUNCTION("""COMPUTED_VALUE"""),"Medical")</f>
        <v>Medical</v>
      </c>
      <c r="I112" s="6" t="str">
        <f ca="1">IFERROR(__xludf.DUMMYFUNCTION("""COMPUTED_VALUE"""),"Donation")</f>
        <v>Donation</v>
      </c>
      <c r="J112" s="6" t="str">
        <f ca="1">IFERROR(__xludf.DUMMYFUNCTION("""COMPUTED_VALUE"""),"N/A")</f>
        <v>N/A</v>
      </c>
      <c r="K112" s="6" t="str">
        <f ca="1">IFERROR(__xludf.DUMMYFUNCTION("""COMPUTED_VALUE"""),"BHS")</f>
        <v>BHS</v>
      </c>
      <c r="L112" s="6" t="str">
        <f ca="1">IFERROR(__xludf.DUMMYFUNCTION("""COMPUTED_VALUE"""),"Bahamas")</f>
        <v>Bahamas</v>
      </c>
      <c r="M112" s="6" t="str">
        <f ca="1">IFERROR(__xludf.DUMMYFUNCTION("""COMPUTED_VALUE"""),"N/A")</f>
        <v>N/A</v>
      </c>
      <c r="N112" s="6" t="str">
        <f ca="1">IFERROR(__xludf.DUMMYFUNCTION("""COMPUTED_VALUE"""),"With the spread of the Coronavirus (COVID-19), China has promised to help the Bahamas with medical aid to combat the pandemic. China first presented a diagnosis and treatment plan to the Government in hopes of helping fight Corona. China then confirmed th"&amp;"at they are sending medical supplies to the Bahamas. This not an official BRI-project because the Bahamas has not yet joined the BRI.")</f>
        <v>With the spread of the Coronavirus (COVID-19), China has promised to help the Bahamas with medical aid to combat the pandemic. China first presented a diagnosis and treatment plan to the Government in hopes of helping fight Corona. China then confirmed that they are sending medical supplies to the Bahamas. This not an official BRI-project because the Bahamas has not yet joined the BRI.</v>
      </c>
      <c r="O112" s="12">
        <f ca="1">IFERROR(__xludf.DUMMYFUNCTION("""COMPUTED_VALUE"""),43908)</f>
        <v>43908</v>
      </c>
      <c r="P112" s="6" t="str">
        <f ca="1">IFERROR(__xludf.DUMMYFUNCTION("""COMPUTED_VALUE"""),"N/A")</f>
        <v>N/A</v>
      </c>
      <c r="Q112" s="6" t="str">
        <f ca="1">IFERROR(__xludf.DUMMYFUNCTION("""COMPUTED_VALUE"""),"In Progress - non-construction ")</f>
        <v xml:space="preserve">In Progress - non-construction </v>
      </c>
      <c r="R112" s="6" t="str">
        <f ca="1">IFERROR(__xludf.DUMMYFUNCTION("""COMPUTED_VALUE"""),"UNM")</f>
        <v>UNM</v>
      </c>
      <c r="S112" s="6" t="str">
        <f ca="1">IFERROR(__xludf.DUMMYFUNCTION("""COMPUTED_VALUE"""),"N/A")</f>
        <v>N/A</v>
      </c>
      <c r="T112" s="6" t="str">
        <f ca="1">IFERROR(__xludf.DUMMYFUNCTION("""COMPUTED_VALUE"""),"UNM")</f>
        <v>UNM</v>
      </c>
      <c r="U112" s="6" t="str">
        <f ca="1">IFERROR(__xludf.DUMMYFUNCTION("""COMPUTED_VALUE"""),"Unmappable")</f>
        <v>Unmappable</v>
      </c>
      <c r="V112" s="6" t="str">
        <f ca="1">IFERROR(__xludf.DUMMYFUNCTION("""COMPUTED_VALUE"""),"No")</f>
        <v>No</v>
      </c>
      <c r="W112" s="6" t="str">
        <f ca="1">IFERROR(__xludf.DUMMYFUNCTION("""COMPUTED_VALUE"""),"NA")</f>
        <v>NA</v>
      </c>
      <c r="X112" s="6" t="str">
        <f ca="1">IFERROR(__xludf.DUMMYFUNCTION("""COMPUTED_VALUE"""),"N/A")</f>
        <v>N/A</v>
      </c>
      <c r="Y112" s="6" t="str">
        <f ca="1">IFERROR(__xludf.DUMMYFUNCTION("""COMPUTED_VALUE"""),"N/A")</f>
        <v>N/A</v>
      </c>
      <c r="Z112" s="6" t="str">
        <f ca="1">IFERROR(__xludf.DUMMYFUNCTION("""COMPUTED_VALUE"""),"N/A")</f>
        <v>N/A</v>
      </c>
      <c r="AA112" s="6"/>
      <c r="AB112" s="6"/>
      <c r="AC112" s="6"/>
      <c r="AD112" s="6"/>
      <c r="AE112" s="6"/>
      <c r="AF112" s="6"/>
      <c r="AG112" s="6"/>
    </row>
    <row r="113" spans="1:33" ht="79.2" x14ac:dyDescent="0.25">
      <c r="A113" s="6">
        <f ca="1">IFERROR(__xludf.DUMMYFUNCTION("""COMPUTED_VALUE"""),121)</f>
        <v>121</v>
      </c>
      <c r="B113" s="6">
        <f ca="1">IFERROR(__xludf.DUMMYFUNCTION("""COMPUTED_VALUE"""),5)</f>
        <v>5</v>
      </c>
      <c r="C113" s="6" t="str">
        <f ca="1">IFERROR(__xludf.DUMMYFUNCTION("""COMPUTED_VALUE"""),"Port-of-Spain General Hospital's new central block")</f>
        <v>Port-of-Spain General Hospital's new central block</v>
      </c>
      <c r="D113" s="6" t="str">
        <f ca="1">IFERROR(__xludf.DUMMYFUNCTION("""COMPUTED_VALUE"""),"CHEXIM")</f>
        <v>CHEXIM</v>
      </c>
      <c r="E113" s="6" t="str">
        <f ca="1">IFERROR(__xludf.DUMMYFUNCTION("""COMPUTED_VALUE"""),"CHEXIM")</f>
        <v>CHEXIM</v>
      </c>
      <c r="F113" s="6" t="str">
        <f ca="1">IFERROR(__xludf.DUMMYFUNCTION("""COMPUTED_VALUE"""),"Shanghai Construction Group")</f>
        <v>Shanghai Construction Group</v>
      </c>
      <c r="G113" s="6">
        <f ca="1">IFERROR(__xludf.DUMMYFUNCTION("""COMPUTED_VALUE"""),1.1)</f>
        <v>1.1000000000000001</v>
      </c>
      <c r="H113" s="6" t="str">
        <f ca="1">IFERROR(__xludf.DUMMYFUNCTION("""COMPUTED_VALUE"""),"Medical")</f>
        <v>Medical</v>
      </c>
      <c r="I113" s="6" t="str">
        <f ca="1">IFERROR(__xludf.DUMMYFUNCTION("""COMPUTED_VALUE"""),"Contract")</f>
        <v>Contract</v>
      </c>
      <c r="J113" s="6" t="str">
        <f ca="1">IFERROR(__xludf.DUMMYFUNCTION("""COMPUTED_VALUE"""),"$1,000,000,000 USD")</f>
        <v>$1,000,000,000 USD</v>
      </c>
      <c r="K113" s="6" t="str">
        <f ca="1">IFERROR(__xludf.DUMMYFUNCTION("""COMPUTED_VALUE"""),"TTO")</f>
        <v>TTO</v>
      </c>
      <c r="L113" s="6" t="str">
        <f ca="1">IFERROR(__xludf.DUMMYFUNCTION("""COMPUTED_VALUE"""),"Trinidad and Tobago")</f>
        <v>Trinidad and Tobago</v>
      </c>
      <c r="M113" s="6" t="str">
        <f ca="1">IFERROR(__xludf.DUMMYFUNCTION("""COMPUTED_VALUE"""),"Port of Spain General Hospital, TTO")</f>
        <v>Port of Spain General Hospital, TTO</v>
      </c>
      <c r="N113" s="6" t="str">
        <f ca="1">IFERROR(__xludf.DUMMYFUNCTION("""COMPUTED_VALUE"""),"In May 2019, the Government signed the agreement with Shanghai Construction Group Caribbean Limited for the construction of the new Central Block of the Hospital. The Hospital was originally remodeled by Shanghai construction in 2013-2015 and they were gr"&amp;"anted the USD $1 billion project for the new block in 2019. This new block will be completed through a public-private partnership. Construction began on November 19 of that year. This is a BRI project because TTO has signed a MoU for the BRI, the financie"&amp;"r for the project, CHEXIM, is a state-owned policy bank, and the implementer, Shanghai Construction Group, is run by China's State Council (SASAC).")</f>
        <v>In May 2019, the Government signed the agreement with Shanghai Construction Group Caribbean Limited for the construction of the new Central Block of the Hospital. The Hospital was originally remodeled by Shanghai construction in 2013-2015 and they were granted the USD $1 billion project for the new block in 2019. This new block will be completed through a public-private partnership. Construction began on November 19 of that year. This is a BRI project because TTO has signed a MoU for the BRI, the financier for the project, CHEXIM, is a state-owned policy bank, and the implementer, Shanghai Construction Group, is run by China's State Council (SASAC).</v>
      </c>
      <c r="O113" s="8">
        <f ca="1">IFERROR(__xludf.DUMMYFUNCTION("""COMPUTED_VALUE"""),43598)</f>
        <v>43598</v>
      </c>
      <c r="P113" s="6" t="str">
        <f ca="1">IFERROR(__xludf.DUMMYFUNCTION("""COMPUTED_VALUE"""),"N/A")</f>
        <v>N/A</v>
      </c>
      <c r="Q113" s="6" t="str">
        <f ca="1">IFERROR(__xludf.DUMMYFUNCTION("""COMPUTED_VALUE"""),"Under construction - unknown")</f>
        <v>Under construction - unknown</v>
      </c>
      <c r="R113" s="6" t="str">
        <f ca="1">IFERROR(__xludf.DUMMYFUNCTION("""COMPUTED_VALUE"""),"HSP")</f>
        <v>HSP</v>
      </c>
      <c r="S113" s="9" t="str">
        <f ca="1">IFERROR(__xludf.DUMMYFUNCTION("""COMPUTED_VALUE"""),"https://gist.github.com/micrittenden/63517c0f87dfb1b0bda7e04b0df97316")</f>
        <v>https://gist.github.com/micrittenden/63517c0f87dfb1b0bda7e04b0df97316</v>
      </c>
      <c r="T113" s="6" t="str">
        <f ca="1">IFERROR(__xludf.DUMMYFUNCTION("""COMPUTED_VALUE"""),"BLOB")</f>
        <v>BLOB</v>
      </c>
      <c r="U113" s="6" t="str">
        <f ca="1">IFERROR(__xludf.DUMMYFUNCTION("""COMPUTED_VALUE"""),"Used satellite imagery and followed google maps")</f>
        <v>Used satellite imagery and followed google maps</v>
      </c>
      <c r="V113" s="6" t="str">
        <f ca="1">IFERROR(__xludf.DUMMYFUNCTION("""COMPUTED_VALUE"""),"Yes (Both)")</f>
        <v>Yes (Both)</v>
      </c>
      <c r="W113" s="6" t="str">
        <f ca="1">IFERROR(__xludf.DUMMYFUNCTION("""COMPUTED_VALUE"""),"Port of Spain")</f>
        <v>Port of Spain</v>
      </c>
      <c r="X113" s="6"/>
      <c r="Y113" s="6"/>
      <c r="Z113" s="6"/>
      <c r="AA113" s="6"/>
      <c r="AB113" s="6"/>
      <c r="AC113" s="6"/>
      <c r="AD113" s="6"/>
      <c r="AE113" s="6"/>
      <c r="AF113" s="6"/>
      <c r="AG113" s="6"/>
    </row>
    <row r="114" spans="1:33" ht="79.2" x14ac:dyDescent="0.25">
      <c r="A114" s="6">
        <f ca="1">IFERROR(__xludf.DUMMYFUNCTION("""COMPUTED_VALUE"""),123)</f>
        <v>123</v>
      </c>
      <c r="B114" s="6">
        <f ca="1">IFERROR(__xludf.DUMMYFUNCTION("""COMPUTED_VALUE"""),4)</f>
        <v>4</v>
      </c>
      <c r="C114" s="6" t="str">
        <f ca="1">IFERROR(__xludf.DUMMYFUNCTION("""COMPUTED_VALUE"""),"National Academy for the Performing Arts (NAPA)")</f>
        <v>National Academy for the Performing Arts (NAPA)</v>
      </c>
      <c r="D114" s="6" t="str">
        <f ca="1">IFERROR(__xludf.DUMMYFUNCTION("""COMPUTED_VALUE"""),"CHEXIM")</f>
        <v>CHEXIM</v>
      </c>
      <c r="E114" s="6" t="str">
        <f ca="1">IFERROR(__xludf.DUMMYFUNCTION("""COMPUTED_VALUE"""),"CHEXIM")</f>
        <v>CHEXIM</v>
      </c>
      <c r="F114" s="6" t="str">
        <f ca="1">IFERROR(__xludf.DUMMYFUNCTION("""COMPUTED_VALUE"""),"Shanghai Construction Group")</f>
        <v>Shanghai Construction Group</v>
      </c>
      <c r="G114" s="6">
        <f ca="1">IFERROR(__xludf.DUMMYFUNCTION("""COMPUTED_VALUE"""),4)</f>
        <v>4</v>
      </c>
      <c r="H114" s="6" t="str">
        <f ca="1">IFERROR(__xludf.DUMMYFUNCTION("""COMPUTED_VALUE"""),"Education, Recreational")</f>
        <v>Education, Recreational</v>
      </c>
      <c r="I114" s="6" t="str">
        <f ca="1">IFERROR(__xludf.DUMMYFUNCTION("""COMPUTED_VALUE"""),"Loan")</f>
        <v>Loan</v>
      </c>
      <c r="J114" s="6" t="str">
        <f ca="1">IFERROR(__xludf.DUMMYFUNCTION("""COMPUTED_VALUE"""),"N/A")</f>
        <v>N/A</v>
      </c>
      <c r="K114" s="6" t="str">
        <f ca="1">IFERROR(__xludf.DUMMYFUNCTION("""COMPUTED_VALUE"""),"TTO")</f>
        <v>TTO</v>
      </c>
      <c r="L114" s="6" t="str">
        <f ca="1">IFERROR(__xludf.DUMMYFUNCTION("""COMPUTED_VALUE"""),"Trinidad and Tobago")</f>
        <v>Trinidad and Tobago</v>
      </c>
      <c r="M114" s="6" t="str">
        <f ca="1">IFERROR(__xludf.DUMMYFUNCTION("""COMPUTED_VALUE"""),"Princes Building Grounds, Queens Park East, Port of Spain, TTO")</f>
        <v>Princes Building Grounds, Queens Park East, Port of Spain, TTO</v>
      </c>
      <c r="N114" s="6" t="str">
        <f ca="1">IFERROR(__xludf.DUMMYFUNCTION("""COMPUTED_VALUE"""),"The Port of Spain National Academy for the Performing Arts (North Campus) is one of two such facilities built as part of a Government-to-Government, two per cent concessional loan from the People’s Republic of China to the Republic of Trinidad and Tobago."&amp;" The exact amount of the concessional loan is $210,000,000, but it is unclear whether this is in TTO or USD. In 2016, the TTO government spent millions fixing structural problems after the building had been closed for two years. This is a BRI project beca"&amp;"use TTO has signed a MoU for the BRI, the financier for the projext, CHEXIM, is a state-owned policy bank, and the implementer, Shanghai Construction Group, is run by China's State Council (SASAC).")</f>
        <v>The Port of Spain National Academy for the Performing Arts (North Campus) is one of two such facilities built as part of a Government-to-Government, two per cent concessional loan from the People’s Republic of China to the Republic of Trinidad and Tobago. The exact amount of the concessional loan is $210,000,000, but it is unclear whether this is in TTO or USD. In 2016, the TTO government spent millions fixing structural problems after the building had been closed for two years. This is a BRI project because TTO has signed a MoU for the BRI, the financier for the projext, CHEXIM, is a state-owned policy bank, and the implementer, Shanghai Construction Group, is run by China's State Council (SASAC).</v>
      </c>
      <c r="O114" s="6" t="str">
        <f ca="1">IFERROR(__xludf.DUMMYFUNCTION("""COMPUTED_VALUE"""),"04/00/2007")</f>
        <v>04/00/2007</v>
      </c>
      <c r="P114" s="6" t="str">
        <f ca="1">IFERROR(__xludf.DUMMYFUNCTION("""COMPUTED_VALUE"""),"11/00/2009")</f>
        <v>11/00/2009</v>
      </c>
      <c r="Q114" s="6" t="str">
        <f ca="1">IFERROR(__xludf.DUMMYFUNCTION("""COMPUTED_VALUE"""),"Completed")</f>
        <v>Completed</v>
      </c>
      <c r="R114" s="6" t="str">
        <f ca="1">IFERROR(__xludf.DUMMYFUNCTION("""COMPUTED_VALUE"""),"SCH")</f>
        <v>SCH</v>
      </c>
      <c r="S114" s="9" t="str">
        <f ca="1">IFERROR(__xludf.DUMMYFUNCTION("""COMPUTED_VALUE"""),"https://gist.github.com/mayadeutchman/c9e089d9fac10726fff62cdfa390e0e1")</f>
        <v>https://gist.github.com/mayadeutchman/c9e089d9fac10726fff62cdfa390e0e1</v>
      </c>
      <c r="T114" s="6" t="str">
        <f ca="1">IFERROR(__xludf.DUMMYFUNCTION("""COMPUTED_VALUE"""),"BLOB")</f>
        <v>BLOB</v>
      </c>
      <c r="U114" s="6" t="str">
        <f ca="1">IFERROR(__xludf.DUMMYFUNCTION("""COMPUTED_VALUE"""),"Used satellite imagery and followed google maps")</f>
        <v>Used satellite imagery and followed google maps</v>
      </c>
      <c r="V114" s="6" t="str">
        <f ca="1">IFERROR(__xludf.DUMMYFUNCTION("""COMPUTED_VALUE"""),"Yes (Both)")</f>
        <v>Yes (Both)</v>
      </c>
      <c r="W114" s="6" t="str">
        <f ca="1">IFERROR(__xludf.DUMMYFUNCTION("""COMPUTED_VALUE"""),"Port of Spain")</f>
        <v>Port of Spain</v>
      </c>
      <c r="X114" s="6"/>
      <c r="Y114" s="6"/>
      <c r="Z114" s="6"/>
      <c r="AA114" s="6"/>
      <c r="AB114" s="6"/>
      <c r="AC114" s="6"/>
      <c r="AD114" s="6"/>
      <c r="AE114" s="6"/>
      <c r="AF114" s="6"/>
      <c r="AG114" s="6"/>
    </row>
    <row r="115" spans="1:33" ht="92.4" x14ac:dyDescent="0.25">
      <c r="A115" s="6">
        <f ca="1">IFERROR(__xludf.DUMMYFUNCTION("""COMPUTED_VALUE"""),125)</f>
        <v>125</v>
      </c>
      <c r="B115" s="6">
        <f ca="1">IFERROR(__xludf.DUMMYFUNCTION("""COMPUTED_VALUE"""),4)</f>
        <v>4</v>
      </c>
      <c r="C115" s="6" t="str">
        <f ca="1">IFERROR(__xludf.DUMMYFUNCTION("""COMPUTED_VALUE"""),"Curepe Interchange Project")</f>
        <v>Curepe Interchange Project</v>
      </c>
      <c r="D115" s="6" t="str">
        <f ca="1">IFERROR(__xludf.DUMMYFUNCTION("""COMPUTED_VALUE"""),"Other Institution")</f>
        <v>Other Institution</v>
      </c>
      <c r="E115" s="6" t="str">
        <f ca="1">IFERROR(__xludf.DUMMYFUNCTION("""COMPUTED_VALUE"""),"Trinidad and Tobago's National infrastructure Development Company (NIDCO)")</f>
        <v>Trinidad and Tobago's National infrastructure Development Company (NIDCO)</v>
      </c>
      <c r="F115" s="6" t="str">
        <f ca="1">IFERROR(__xludf.DUMMYFUNCTION("""COMPUTED_VALUE"""),"China Railway Construction Corporation (CRCC), Caribbean Company Ltd, China Railway 14th Bureau Group Co. Limited")</f>
        <v>China Railway Construction Corporation (CRCC), Caribbean Company Ltd, China Railway 14th Bureau Group Co. Limited</v>
      </c>
      <c r="G115" s="6">
        <f ca="1">IFERROR(__xludf.DUMMYFUNCTION("""COMPUTED_VALUE"""),1.3)</f>
        <v>1.3</v>
      </c>
      <c r="H115" s="6" t="str">
        <f ca="1">IFERROR(__xludf.DUMMYFUNCTION("""COMPUTED_VALUE"""),"Road")</f>
        <v>Road</v>
      </c>
      <c r="I115" s="6" t="str">
        <f ca="1">IFERROR(__xludf.DUMMYFUNCTION("""COMPUTED_VALUE"""),"Contract")</f>
        <v>Contract</v>
      </c>
      <c r="J115" s="6" t="str">
        <f ca="1">IFERROR(__xludf.DUMMYFUNCTION("""COMPUTED_VALUE"""),"$32,651,755.50 USD")</f>
        <v>$32,651,755.50 USD</v>
      </c>
      <c r="K115" s="6" t="str">
        <f ca="1">IFERROR(__xludf.DUMMYFUNCTION("""COMPUTED_VALUE"""),"TTO")</f>
        <v>TTO</v>
      </c>
      <c r="L115" s="6" t="str">
        <f ca="1">IFERROR(__xludf.DUMMYFUNCTION("""COMPUTED_VALUE"""),"Trinidad and Tobago")</f>
        <v>Trinidad and Tobago</v>
      </c>
      <c r="M115" s="6" t="str">
        <f ca="1">IFERROR(__xludf.DUMMYFUNCTION("""COMPUTED_VALUE"""),"Churchill Roosevelt Highway, Curepe, Trinidad (East of Port of Spain)")</f>
        <v>Churchill Roosevelt Highway, Curepe, Trinidad (East of Port of Spain)</v>
      </c>
      <c r="N115" s="6" t="str">
        <f ca="1">IFERROR(__xludf.DUMMYFUNCTION("""COMPUTED_VALUE"""),"NIDCO awarded the CRCC the contract for construction of the Curepe interchange worth $221 million TTD ($32,651,755.50 USD). The interchange will significantly alleviate traffic for those travelling from the East into Port of Spain by adding an interchange"&amp;" to the Churchill Roosevelt highway. The key project stakeholders are the Ministry of Works and Transport, NIDCO, Planning Associates and China Railway Joint Venture. The completion date of the interchange was cited to be Feb 2020, however progress on the"&amp;" interchange is unknown. This is a BRI project because TTO has signed a MoU for the BRI and the implementer, China Railway, is run by China's State Council (SASAC).")</f>
        <v>NIDCO awarded the CRCC the contract for construction of the Curepe interchange worth $221 million TTD ($32,651,755.50 USD). The interchange will significantly alleviate traffic for those travelling from the East into Port of Spain by adding an interchange to the Churchill Roosevelt highway. The key project stakeholders are the Ministry of Works and Transport, NIDCO, Planning Associates and China Railway Joint Venture. The completion date of the interchange was cited to be Feb 2020, however progress on the interchange is unknown. This is a BRI project because TTO has signed a MoU for the BRI and the implementer, China Railway, is run by China's State Council (SASAC).</v>
      </c>
      <c r="O115" s="6" t="str">
        <f ca="1">IFERROR(__xludf.DUMMYFUNCTION("""COMPUTED_VALUE"""),"02/00/2019")</f>
        <v>02/00/2019</v>
      </c>
      <c r="P115" s="6" t="str">
        <f ca="1">IFERROR(__xludf.DUMMYFUNCTION("""COMPUTED_VALUE"""),"N/A")</f>
        <v>N/A</v>
      </c>
      <c r="Q115" s="6" t="str">
        <f ca="1">IFERROR(__xludf.DUMMYFUNCTION("""COMPUTED_VALUE"""),"Under construction - delayed")</f>
        <v>Under construction - delayed</v>
      </c>
      <c r="R115" s="6" t="str">
        <f ca="1">IFERROR(__xludf.DUMMYFUNCTION("""COMPUTED_VALUE"""),"RD")</f>
        <v>RD</v>
      </c>
      <c r="S115" s="9" t="str">
        <f ca="1">IFERROR(__xludf.DUMMYFUNCTION("""COMPUTED_VALUE"""),"https://gist.github.com/mayadeutchman/2c207f3aa93568977b9e8cfcbf386370")</f>
        <v>https://gist.github.com/mayadeutchman/2c207f3aa93568977b9e8cfcbf386370</v>
      </c>
      <c r="T115" s="6" t="str">
        <f ca="1">IFERROR(__xludf.DUMMYFUNCTION("""COMPUTED_VALUE"""),"BLOB")</f>
        <v>BLOB</v>
      </c>
      <c r="U115" s="6" t="str">
        <f ca="1">IFERROR(__xludf.DUMMYFUNCTION("""COMPUTED_VALUE"""),"Used satellite imagery and followed google maps")</f>
        <v>Used satellite imagery and followed google maps</v>
      </c>
      <c r="V115" s="6" t="str">
        <f ca="1">IFERROR(__xludf.DUMMYFUNCTION("""COMPUTED_VALUE"""),"Yes (Both)")</f>
        <v>Yes (Both)</v>
      </c>
      <c r="W115" s="6" t="str">
        <f ca="1">IFERROR(__xludf.DUMMYFUNCTION("""COMPUTED_VALUE"""),"Tunapuna-Piarco")</f>
        <v>Tunapuna-Piarco</v>
      </c>
      <c r="X115" s="6"/>
      <c r="Y115" s="6"/>
      <c r="Z115" s="6"/>
      <c r="AA115" s="6"/>
      <c r="AB115" s="6"/>
      <c r="AC115" s="6"/>
      <c r="AD115" s="6"/>
      <c r="AE115" s="6"/>
      <c r="AF115" s="6"/>
      <c r="AG115" s="6"/>
    </row>
    <row r="116" spans="1:33" ht="66" x14ac:dyDescent="0.25">
      <c r="A116" s="6">
        <f ca="1">IFERROR(__xludf.DUMMYFUNCTION("""COMPUTED_VALUE"""),126)</f>
        <v>126</v>
      </c>
      <c r="B116" s="6">
        <f ca="1">IFERROR(__xludf.DUMMYFUNCTION("""COMPUTED_VALUE"""),5)</f>
        <v>5</v>
      </c>
      <c r="C116" s="6" t="str">
        <f ca="1">IFERROR(__xludf.DUMMYFUNCTION("""COMPUTED_VALUE"""),"Arima Hospital")</f>
        <v>Arima Hospital</v>
      </c>
      <c r="D116" s="6" t="str">
        <f ca="1">IFERROR(__xludf.DUMMYFUNCTION("""COMPUTED_VALUE"""),"Other Institution")</f>
        <v>Other Institution</v>
      </c>
      <c r="E116" s="6" t="str">
        <f ca="1">IFERROR(__xludf.DUMMYFUNCTION("""COMPUTED_VALUE"""),"Government of Trinidad and Tobago")</f>
        <v>Government of Trinidad and Tobago</v>
      </c>
      <c r="F116" s="6" t="str">
        <f ca="1">IFERROR(__xludf.DUMMYFUNCTION("""COMPUTED_VALUE"""),"China Railway Construction Corporation (CRCC)")</f>
        <v>China Railway Construction Corporation (CRCC)</v>
      </c>
      <c r="G116" s="6">
        <f ca="1">IFERROR(__xludf.DUMMYFUNCTION("""COMPUTED_VALUE"""),1.3)</f>
        <v>1.3</v>
      </c>
      <c r="H116" s="6" t="str">
        <f ca="1">IFERROR(__xludf.DUMMYFUNCTION("""COMPUTED_VALUE"""),"Medical")</f>
        <v>Medical</v>
      </c>
      <c r="I116" s="6" t="str">
        <f ca="1">IFERROR(__xludf.DUMMYFUNCTION("""COMPUTED_VALUE"""),"Contract")</f>
        <v>Contract</v>
      </c>
      <c r="J116" s="6" t="str">
        <f ca="1">IFERROR(__xludf.DUMMYFUNCTION("""COMPUTED_VALUE"""),"$177,294,600.00 USD")</f>
        <v>$177,294,600.00 USD</v>
      </c>
      <c r="K116" s="6" t="str">
        <f ca="1">IFERROR(__xludf.DUMMYFUNCTION("""COMPUTED_VALUE"""),"TTO")</f>
        <v>TTO</v>
      </c>
      <c r="L116" s="6" t="str">
        <f ca="1">IFERROR(__xludf.DUMMYFUNCTION("""COMPUTED_VALUE"""),"Trinidad and Tobago")</f>
        <v>Trinidad and Tobago</v>
      </c>
      <c r="M116" s="6" t="str">
        <f ca="1">IFERROR(__xludf.DUMMYFUNCTION("""COMPUTED_VALUE"""),"Arima, Trinidad")</f>
        <v>Arima, Trinidad</v>
      </c>
      <c r="N116" s="6" t="str">
        <f ca="1">IFERROR(__xludf.DUMMYFUNCTION("""COMPUTED_VALUE"""),"The Arima Hospital project was awarded to the Chinese Railway Construction company. The goal of this project was to increase the health care system by providing more beds for patients and improving the facility. The Hospital opened in April 2020 and incre"&amp;"ased it's bed count to accomodate COVID-19 patients. The project was worth $1.2 billion TTD, or about $177,294,600.00 USD. This is a BRI project because TTO has signed a MoU for the BRI and the implementer, China Railway, is run by China's State Council ("&amp;"SASAC).")</f>
        <v>The Arima Hospital project was awarded to the Chinese Railway Construction company. The goal of this project was to increase the health care system by providing more beds for patients and improving the facility. The Hospital opened in April 2020 and increased it's bed count to accomodate COVID-19 patients. The project was worth $1.2 billion TTD, or about $177,294,600.00 USD. This is a BRI project because TTO has signed a MoU for the BRI and the implementer, China Railway, is run by China's State Council (SASAC).</v>
      </c>
      <c r="O116" s="6" t="str">
        <f ca="1">IFERROR(__xludf.DUMMYFUNCTION("""COMPUTED_VALUE"""),"5/00/2015")</f>
        <v>5/00/2015</v>
      </c>
      <c r="P116" s="6" t="str">
        <f ca="1">IFERROR(__xludf.DUMMYFUNCTION("""COMPUTED_VALUE"""),"04/00/2020")</f>
        <v>04/00/2020</v>
      </c>
      <c r="Q116" s="6" t="str">
        <f ca="1">IFERROR(__xludf.DUMMYFUNCTION("""COMPUTED_VALUE"""),"Completed")</f>
        <v>Completed</v>
      </c>
      <c r="R116" s="6" t="str">
        <f ca="1">IFERROR(__xludf.DUMMYFUNCTION("""COMPUTED_VALUE"""),"HSP")</f>
        <v>HSP</v>
      </c>
      <c r="S116" s="9" t="str">
        <f ca="1">IFERROR(__xludf.DUMMYFUNCTION("""COMPUTED_VALUE"""),"https://gist.github.com/mayadeutchman/33caa68c132e6adea23fb0b15bb73bf9")</f>
        <v>https://gist.github.com/mayadeutchman/33caa68c132e6adea23fb0b15bb73bf9</v>
      </c>
      <c r="T116" s="6" t="str">
        <f ca="1">IFERROR(__xludf.DUMMYFUNCTION("""COMPUTED_VALUE"""),"BLOB")</f>
        <v>BLOB</v>
      </c>
      <c r="U116" s="6" t="str">
        <f ca="1">IFERROR(__xludf.DUMMYFUNCTION("""COMPUTED_VALUE"""),"Used satellite imagery and followed google maps")</f>
        <v>Used satellite imagery and followed google maps</v>
      </c>
      <c r="V116" s="6" t="str">
        <f ca="1">IFERROR(__xludf.DUMMYFUNCTION("""COMPUTED_VALUE"""),"Yes (Both)")</f>
        <v>Yes (Both)</v>
      </c>
      <c r="W116" s="6" t="str">
        <f ca="1">IFERROR(__xludf.DUMMYFUNCTION("""COMPUTED_VALUE"""),"Tunapuna-Piarco")</f>
        <v>Tunapuna-Piarco</v>
      </c>
      <c r="X116" s="6"/>
      <c r="Y116" s="6"/>
      <c r="Z116" s="6"/>
      <c r="AA116" s="6"/>
      <c r="AB116" s="6"/>
      <c r="AC116" s="6"/>
      <c r="AD116" s="6"/>
      <c r="AE116" s="6"/>
      <c r="AF116" s="6"/>
      <c r="AG116" s="6"/>
    </row>
    <row r="117" spans="1:33" ht="79.2" x14ac:dyDescent="0.25">
      <c r="A117" s="6">
        <f ca="1">IFERROR(__xludf.DUMMYFUNCTION("""COMPUTED_VALUE"""),127)</f>
        <v>127</v>
      </c>
      <c r="B117" s="6">
        <f ca="1">IFERROR(__xludf.DUMMYFUNCTION("""COMPUTED_VALUE"""),5)</f>
        <v>5</v>
      </c>
      <c r="C117" s="6" t="str">
        <f ca="1">IFERROR(__xludf.DUMMYFUNCTION("""COMPUTED_VALUE"""),"Scarborough General Hospital")</f>
        <v>Scarborough General Hospital</v>
      </c>
      <c r="D117" s="6" t="str">
        <f ca="1">IFERROR(__xludf.DUMMYFUNCTION("""COMPUTED_VALUE"""),"Other Institution")</f>
        <v>Other Institution</v>
      </c>
      <c r="E117" s="6" t="str">
        <f ca="1">IFERROR(__xludf.DUMMYFUNCTION("""COMPUTED_VALUE"""),"Government of Trinidad and Tobago")</f>
        <v>Government of Trinidad and Tobago</v>
      </c>
      <c r="F117" s="6" t="str">
        <f ca="1">IFERROR(__xludf.DUMMYFUNCTION("""COMPUTED_VALUE"""),"China Railway Construction Ltd.")</f>
        <v>China Railway Construction Ltd.</v>
      </c>
      <c r="G117" s="6">
        <f ca="1">IFERROR(__xludf.DUMMYFUNCTION("""COMPUTED_VALUE"""),4)</f>
        <v>4</v>
      </c>
      <c r="H117" s="6" t="str">
        <f ca="1">IFERROR(__xludf.DUMMYFUNCTION("""COMPUTED_VALUE"""),"Medical")</f>
        <v>Medical</v>
      </c>
      <c r="I117" s="6" t="str">
        <f ca="1">IFERROR(__xludf.DUMMYFUNCTION("""COMPUTED_VALUE"""),"Contract")</f>
        <v>Contract</v>
      </c>
      <c r="J117" s="6" t="str">
        <f ca="1">IFERROR(__xludf.DUMMYFUNCTION("""COMPUTED_VALUE"""),"$66,042,238.50 USD")</f>
        <v>$66,042,238.50 USD</v>
      </c>
      <c r="K117" s="6" t="str">
        <f ca="1">IFERROR(__xludf.DUMMYFUNCTION("""COMPUTED_VALUE"""),"TTO")</f>
        <v>TTO</v>
      </c>
      <c r="L117" s="6" t="str">
        <f ca="1">IFERROR(__xludf.DUMMYFUNCTION("""COMPUTED_VALUE"""),"Trinidad and Tobago")</f>
        <v>Trinidad and Tobago</v>
      </c>
      <c r="M117" s="6" t="str">
        <f ca="1">IFERROR(__xludf.DUMMYFUNCTION("""COMPUTED_VALUE"""),"Scarborough General Hospital, Signal Hill, Scarborough, Tobago")</f>
        <v>Scarborough General Hospital, Signal Hill, Scarborough, Tobago</v>
      </c>
      <c r="N117" s="6" t="str">
        <f ca="1">IFERROR(__xludf.DUMMYFUNCTION("""COMPUTED_VALUE"""),"Sod-turning in 2000 was followed by the start of construction in 2003. There were several delays in original construction and the project stopped in 2006 in a dispute between the project managers, Nipdec and the main contractor NH International (Caribbean"&amp;" Ltd). Construction restarted under a new contractor, China Railway Construction Ltd in 2010. The new hospital has new imaging equipment including CAT scans and ultrasounds, and has been built to include outpatient clinics as well. The project was worth $"&amp;"447,000,000 TTO, or about $66,042,238.50 USD. This is a BRI project because TTO has signed a MoU for the BRI and the implementer, China Railway, is run by China's State Council (SASAC).")</f>
        <v>Sod-turning in 2000 was followed by the start of construction in 2003. There were several delays in original construction and the project stopped in 2006 in a dispute between the project managers, Nipdec and the main contractor NH International (Caribbean Ltd). Construction restarted under a new contractor, China Railway Construction Ltd in 2010. The new hospital has new imaging equipment including CAT scans and ultrasounds, and has been built to include outpatient clinics as well. The project was worth $447,000,000 TTO, or about $66,042,238.50 USD. This is a BRI project because TTO has signed a MoU for the BRI and the implementer, China Railway, is run by China's State Council (SASAC).</v>
      </c>
      <c r="O117" s="6" t="str">
        <f ca="1">IFERROR(__xludf.DUMMYFUNCTION("""COMPUTED_VALUE"""),"00/00/2003")</f>
        <v>00/00/2003</v>
      </c>
      <c r="P117" s="6" t="str">
        <f ca="1">IFERROR(__xludf.DUMMYFUNCTION("""COMPUTED_VALUE"""),"04/00/2015")</f>
        <v>04/00/2015</v>
      </c>
      <c r="Q117" s="6" t="str">
        <f ca="1">IFERROR(__xludf.DUMMYFUNCTION("""COMPUTED_VALUE"""),"Completed")</f>
        <v>Completed</v>
      </c>
      <c r="R117" s="6" t="str">
        <f ca="1">IFERROR(__xludf.DUMMYFUNCTION("""COMPUTED_VALUE"""),"HSP")</f>
        <v>HSP</v>
      </c>
      <c r="S117" s="9" t="str">
        <f ca="1">IFERROR(__xludf.DUMMYFUNCTION("""COMPUTED_VALUE"""),"https://gist.github.com/mayadeutchman/6e448fe9610e4ca371d706bf6460a28e")</f>
        <v>https://gist.github.com/mayadeutchman/6e448fe9610e4ca371d706bf6460a28e</v>
      </c>
      <c r="T117" s="6" t="str">
        <f ca="1">IFERROR(__xludf.DUMMYFUNCTION("""COMPUTED_VALUE"""),"BLOB")</f>
        <v>BLOB</v>
      </c>
      <c r="U117" s="6" t="str">
        <f ca="1">IFERROR(__xludf.DUMMYFUNCTION("""COMPUTED_VALUE"""),"Used satellite imagery and followed google maps")</f>
        <v>Used satellite imagery and followed google maps</v>
      </c>
      <c r="V117" s="6" t="str">
        <f ca="1">IFERROR(__xludf.DUMMYFUNCTION("""COMPUTED_VALUE"""),"Yes (Both)")</f>
        <v>Yes (Both)</v>
      </c>
      <c r="W117" s="6" t="str">
        <f ca="1">IFERROR(__xludf.DUMMYFUNCTION("""COMPUTED_VALUE"""),"Tobago")</f>
        <v>Tobago</v>
      </c>
      <c r="X117" s="6"/>
      <c r="Y117" s="6"/>
      <c r="Z117" s="6"/>
      <c r="AA117" s="6"/>
      <c r="AB117" s="6"/>
      <c r="AC117" s="6"/>
      <c r="AD117" s="6"/>
      <c r="AE117" s="6"/>
      <c r="AF117" s="6"/>
      <c r="AG117" s="6"/>
    </row>
    <row r="118" spans="1:33" ht="79.2" x14ac:dyDescent="0.25">
      <c r="A118" s="6">
        <f ca="1">IFERROR(__xludf.DUMMYFUNCTION("""COMPUTED_VALUE"""),128)</f>
        <v>128</v>
      </c>
      <c r="B118" s="10">
        <f ca="1">IFERROR(__xludf.DUMMYFUNCTION("""COMPUTED_VALUE"""),3)</f>
        <v>3</v>
      </c>
      <c r="C118" s="6" t="str">
        <f ca="1">IFERROR(__xludf.DUMMYFUNCTION("""COMPUTED_VALUE"""),"Mariel Solar S.A. Site 2")</f>
        <v>Mariel Solar S.A. Site 2</v>
      </c>
      <c r="D118" s="6" t="str">
        <f ca="1">IFERROR(__xludf.DUMMYFUNCTION("""COMPUTED_VALUE"""),"Other Chinese Institution")</f>
        <v>Other Chinese Institution</v>
      </c>
      <c r="E118" s="6" t="str">
        <f ca="1">IFERROR(__xludf.DUMMYFUNCTION("""COMPUTED_VALUE"""),"Hive Energy and SE Investment Co (subsidiary of Shanghai Electric)")</f>
        <v>Hive Energy and SE Investment Co (subsidiary of Shanghai Electric)</v>
      </c>
      <c r="F118" s="6" t="str">
        <f ca="1">IFERROR(__xludf.DUMMYFUNCTION("""COMPUTED_VALUE"""),"EDIFRE, the state engineering company (Investment Development Company for Renewable Energy Sources)")</f>
        <v>EDIFRE, the state engineering company (Investment Development Company for Renewable Energy Sources)</v>
      </c>
      <c r="G118" s="6">
        <f ca="1">IFERROR(__xludf.DUMMYFUNCTION("""COMPUTED_VALUE"""),3)</f>
        <v>3</v>
      </c>
      <c r="H118" s="6" t="str">
        <f ca="1">IFERROR(__xludf.DUMMYFUNCTION("""COMPUTED_VALUE"""),"Energy - sustainable")</f>
        <v>Energy - sustainable</v>
      </c>
      <c r="I118" s="6" t="str">
        <f ca="1">IFERROR(__xludf.DUMMYFUNCTION("""COMPUTED_VALUE"""),"Joint Venture")</f>
        <v>Joint Venture</v>
      </c>
      <c r="J118" s="7" t="str">
        <f ca="1">IFERROR(__xludf.DUMMYFUNCTION("""COMPUTED_VALUE"""),"$20,000,000 USD")</f>
        <v>$20,000,000 USD</v>
      </c>
      <c r="K118" s="6" t="str">
        <f ca="1">IFERROR(__xludf.DUMMYFUNCTION("""COMPUTED_VALUE"""),"CUB")</f>
        <v>CUB</v>
      </c>
      <c r="L118" s="6" t="str">
        <f ca="1">IFERROR(__xludf.DUMMYFUNCTION("""COMPUTED_VALUE"""),"Cuba")</f>
        <v>Cuba</v>
      </c>
      <c r="M118" s="6" t="str">
        <f ca="1">IFERROR(__xludf.DUMMYFUNCTION("""COMPUTED_VALUE"""),"Mariel Special Development Zone, Cuba")</f>
        <v>Mariel Special Development Zone, Cuba</v>
      </c>
      <c r="N118" s="6" t="str">
        <f ca="1">IFERROR(__xludf.DUMMYFUNCTION("""COMPUTED_VALUE"""),"Hive, a South Hampton-based company, formed a joint venture with with SE Energy Investment (A British subsidiary of Shanghai Electric Group) called Mariel Solar S.A. where three utility photovoltaic parks with 300,000 solar panels will be constructed. The"&amp;" solar panels will be constructed on approximately 118 acres at the Mariel Development Zone. The three utility-sized parks together will be one of the largest solar parks in the Caribbean with a total output of 50 megawatts. They are expected to generate "&amp;"100,000MWh of electricity annually. Construction officially began in March 2019 and was expected to be finished by December but is ongoing. The entire project cost a projected $60 million USD, or an average of $20 million USD per site.")</f>
        <v>Hive, a South Hampton-based company, formed a joint venture with with SE Energy Investment (A British subsidiary of Shanghai Electric Group) called Mariel Solar S.A. where three utility photovoltaic parks with 300,000 solar panels will be constructed. The solar panels will be constructed on approximately 118 acres at the Mariel Development Zone. The three utility-sized parks together will be one of the largest solar parks in the Caribbean with a total output of 50 megawatts. They are expected to generate 100,000MWh of electricity annually. Construction officially began in March 2019 and was expected to be finished by December but is ongoing. The entire project cost a projected $60 million USD, or an average of $20 million USD per site.</v>
      </c>
      <c r="O118" s="6" t="str">
        <f ca="1">IFERROR(__xludf.DUMMYFUNCTION("""COMPUTED_VALUE"""),"03/00/2019")</f>
        <v>03/00/2019</v>
      </c>
      <c r="P118" s="6" t="str">
        <f ca="1">IFERROR(__xludf.DUMMYFUNCTION("""COMPUTED_VALUE"""),"N/A")</f>
        <v>N/A</v>
      </c>
      <c r="Q118" s="6" t="str">
        <f ca="1">IFERROR(__xludf.DUMMYFUNCTION("""COMPUTED_VALUE"""),"Under construction - delayed")</f>
        <v>Under construction - delayed</v>
      </c>
      <c r="R118" s="6" t="str">
        <f ca="1">IFERROR(__xludf.DUMMYFUNCTION("""COMPUTED_VALUE"""),"PS")</f>
        <v>PS</v>
      </c>
      <c r="S118" s="9" t="str">
        <f ca="1">IFERROR(__xludf.DUMMYFUNCTION("""COMPUTED_VALUE"""),"https://gist.github.com/micrittenden/d85f9ad2e534911a377003d31e8ad40d")</f>
        <v>https://gist.github.com/micrittenden/d85f9ad2e534911a377003d31e8ad40d</v>
      </c>
      <c r="T118" s="6" t="str">
        <f ca="1">IFERROR(__xludf.DUMMYFUNCTION("""COMPUTED_VALUE"""),"BLOB")</f>
        <v>BLOB</v>
      </c>
      <c r="U118" s="6" t="str">
        <f ca="1">IFERROR(__xludf.DUMMYFUNCTION("""COMPUTED_VALUE"""),"Coded site 2 for the Mariel Solar Parks using Google Earth Pro")</f>
        <v>Coded site 2 for the Mariel Solar Parks using Google Earth Pro</v>
      </c>
      <c r="V118" s="6" t="str">
        <f ca="1">IFERROR(__xludf.DUMMYFUNCTION("""COMPUTED_VALUE"""),"Yes (Both)")</f>
        <v>Yes (Both)</v>
      </c>
      <c r="W118" s="6" t="str">
        <f ca="1">IFERROR(__xludf.DUMMYFUNCTION("""COMPUTED_VALUE"""),"Artemisa")</f>
        <v>Artemisa</v>
      </c>
      <c r="X118" s="6"/>
      <c r="Y118" s="6"/>
      <c r="Z118" s="6"/>
      <c r="AA118" s="6"/>
      <c r="AB118" s="6"/>
      <c r="AC118" s="6"/>
      <c r="AD118" s="6"/>
      <c r="AE118" s="6"/>
      <c r="AF118" s="6"/>
      <c r="AG118" s="6"/>
    </row>
    <row r="119" spans="1:33" ht="79.2" x14ac:dyDescent="0.25">
      <c r="A119" s="6">
        <f ca="1">IFERROR(__xludf.DUMMYFUNCTION("""COMPUTED_VALUE"""),129)</f>
        <v>129</v>
      </c>
      <c r="B119" s="10">
        <f ca="1">IFERROR(__xludf.DUMMYFUNCTION("""COMPUTED_VALUE"""),3)</f>
        <v>3</v>
      </c>
      <c r="C119" s="6" t="str">
        <f ca="1">IFERROR(__xludf.DUMMYFUNCTION("""COMPUTED_VALUE"""),"Mariel Solar S.A. Site 3")</f>
        <v>Mariel Solar S.A. Site 3</v>
      </c>
      <c r="D119" s="6" t="str">
        <f ca="1">IFERROR(__xludf.DUMMYFUNCTION("""COMPUTED_VALUE"""),"Other Chinese Institution")</f>
        <v>Other Chinese Institution</v>
      </c>
      <c r="E119" s="6" t="str">
        <f ca="1">IFERROR(__xludf.DUMMYFUNCTION("""COMPUTED_VALUE"""),"Hive Energy and SE Investment Co (subsidiary of Shanghai Electric)")</f>
        <v>Hive Energy and SE Investment Co (subsidiary of Shanghai Electric)</v>
      </c>
      <c r="F119" s="6" t="str">
        <f ca="1">IFERROR(__xludf.DUMMYFUNCTION("""COMPUTED_VALUE"""),"EDIFRE, the state engineering company (Investment Development Company for Renewable Energy Sources)")</f>
        <v>EDIFRE, the state engineering company (Investment Development Company for Renewable Energy Sources)</v>
      </c>
      <c r="G119" s="6">
        <f ca="1">IFERROR(__xludf.DUMMYFUNCTION("""COMPUTED_VALUE"""),3)</f>
        <v>3</v>
      </c>
      <c r="H119" s="6" t="str">
        <f ca="1">IFERROR(__xludf.DUMMYFUNCTION("""COMPUTED_VALUE"""),"Energy - sustainable")</f>
        <v>Energy - sustainable</v>
      </c>
      <c r="I119" s="6" t="str">
        <f ca="1">IFERROR(__xludf.DUMMYFUNCTION("""COMPUTED_VALUE"""),"Joint Venture")</f>
        <v>Joint Venture</v>
      </c>
      <c r="J119" s="7" t="str">
        <f ca="1">IFERROR(__xludf.DUMMYFUNCTION("""COMPUTED_VALUE"""),"$20,000,000 USD")</f>
        <v>$20,000,000 USD</v>
      </c>
      <c r="K119" s="6" t="str">
        <f ca="1">IFERROR(__xludf.DUMMYFUNCTION("""COMPUTED_VALUE"""),"CUB")</f>
        <v>CUB</v>
      </c>
      <c r="L119" s="6" t="str">
        <f ca="1">IFERROR(__xludf.DUMMYFUNCTION("""COMPUTED_VALUE"""),"Cuba")</f>
        <v>Cuba</v>
      </c>
      <c r="M119" s="6" t="str">
        <f ca="1">IFERROR(__xludf.DUMMYFUNCTION("""COMPUTED_VALUE"""),"Mariel Special Development Zone, Cuba")</f>
        <v>Mariel Special Development Zone, Cuba</v>
      </c>
      <c r="N119" s="6" t="str">
        <f ca="1">IFERROR(__xludf.DUMMYFUNCTION("""COMPUTED_VALUE"""),"Hive, a South Hampton-based company, formed a joint venture with with SE Energy Investment (A British subsidiary of Shanghai Electric Group) called Mariel Solar S.A. where three utility photovoltaic parks with 300,000 solar panels will be constructed. The"&amp;" solar panels will be constructed on approximately 118 acres at the Mariel Development Zone. The three utility-sized parks together will be one of the largest solar parks in the Caribbean with a total output of 50 megawatts. They are expected to generate "&amp;"100,000MWh of electricity annually. Construction officially began in March 2019 and was expected to be finished by December but is ongoing. The entire project cost a projected $60 million USD, or an average of $20 million USD per site.")</f>
        <v>Hive, a South Hampton-based company, formed a joint venture with with SE Energy Investment (A British subsidiary of Shanghai Electric Group) called Mariel Solar S.A. where three utility photovoltaic parks with 300,000 solar panels will be constructed. The solar panels will be constructed on approximately 118 acres at the Mariel Development Zone. The three utility-sized parks together will be one of the largest solar parks in the Caribbean with a total output of 50 megawatts. They are expected to generate 100,000MWh of electricity annually. Construction officially began in March 2019 and was expected to be finished by December but is ongoing. The entire project cost a projected $60 million USD, or an average of $20 million USD per site.</v>
      </c>
      <c r="O119" s="6" t="str">
        <f ca="1">IFERROR(__xludf.DUMMYFUNCTION("""COMPUTED_VALUE"""),"03/00/2019")</f>
        <v>03/00/2019</v>
      </c>
      <c r="P119" s="6" t="str">
        <f ca="1">IFERROR(__xludf.DUMMYFUNCTION("""COMPUTED_VALUE"""),"N/A")</f>
        <v>N/A</v>
      </c>
      <c r="Q119" s="6" t="str">
        <f ca="1">IFERROR(__xludf.DUMMYFUNCTION("""COMPUTED_VALUE"""),"Under construction - delayed")</f>
        <v>Under construction - delayed</v>
      </c>
      <c r="R119" s="6" t="str">
        <f ca="1">IFERROR(__xludf.DUMMYFUNCTION("""COMPUTED_VALUE"""),"PS")</f>
        <v>PS</v>
      </c>
      <c r="S119" s="9" t="str">
        <f ca="1">IFERROR(__xludf.DUMMYFUNCTION("""COMPUTED_VALUE"""),"https://gist.github.com/micrittenden/aeeb98004c1b73ab52f5fc5415460262")</f>
        <v>https://gist.github.com/micrittenden/aeeb98004c1b73ab52f5fc5415460262</v>
      </c>
      <c r="T119" s="6" t="str">
        <f ca="1">IFERROR(__xludf.DUMMYFUNCTION("""COMPUTED_VALUE"""),"BLOB")</f>
        <v>BLOB</v>
      </c>
      <c r="U119" s="6" t="str">
        <f ca="1">IFERROR(__xludf.DUMMYFUNCTION("""COMPUTED_VALUE"""),"Coded site 3 for the Mariel Solar Parks using Google Earth Pro")</f>
        <v>Coded site 3 for the Mariel Solar Parks using Google Earth Pro</v>
      </c>
      <c r="V119" s="6" t="str">
        <f ca="1">IFERROR(__xludf.DUMMYFUNCTION("""COMPUTED_VALUE"""),"Yes (Both)")</f>
        <v>Yes (Both)</v>
      </c>
      <c r="W119" s="6" t="str">
        <f ca="1">IFERROR(__xludf.DUMMYFUNCTION("""COMPUTED_VALUE"""),"Artemisa")</f>
        <v>Artemisa</v>
      </c>
      <c r="X119" s="6"/>
      <c r="Y119" s="6"/>
      <c r="Z119" s="6"/>
      <c r="AA119" s="6"/>
      <c r="AB119" s="6"/>
      <c r="AC119" s="6"/>
      <c r="AD119" s="6"/>
      <c r="AE119" s="6"/>
      <c r="AF119" s="6"/>
      <c r="AG119" s="6"/>
    </row>
    <row r="120" spans="1:33" ht="105.6" x14ac:dyDescent="0.25">
      <c r="A120" s="6">
        <f ca="1">IFERROR(__xludf.DUMMYFUNCTION("""COMPUTED_VALUE"""),131)</f>
        <v>131</v>
      </c>
      <c r="B120" s="6">
        <f ca="1">IFERROR(__xludf.DUMMYFUNCTION("""COMPUTED_VALUE"""),5)</f>
        <v>5</v>
      </c>
      <c r="C120" s="6" t="str">
        <f ca="1">IFERROR(__xludf.DUMMYFUNCTION("""COMPUTED_VALUE"""),"Chaglla Hydro project")</f>
        <v>Chaglla Hydro project</v>
      </c>
      <c r="D120" s="6" t="str">
        <f ca="1">IFERROR(__xludf.DUMMYFUNCTION("""COMPUTED_VALUE"""),"Other Chinese Institution")</f>
        <v>Other Chinese Institution</v>
      </c>
      <c r="E120" s="6" t="str">
        <f ca="1">IFERROR(__xludf.DUMMYFUNCTION("""COMPUTED_VALUE"""),"Chinese consortium led by China Three Gorges (CTG) and China's Hubei Energy Group Co Ltd")</f>
        <v>Chinese consortium led by China Three Gorges (CTG) and China's Hubei Energy Group Co Ltd</v>
      </c>
      <c r="F120" s="6" t="str">
        <f ca="1">IFERROR(__xludf.DUMMYFUNCTION("""COMPUTED_VALUE"""),"China Three Gorges, China's Hubei 
Energy Group Co Ltd, Atom, Mott MacDonald, Empresa de Generacion Huallaga (EGH), Odebrecht Energia")</f>
        <v>China Three Gorges, China's Hubei 
Energy Group Co Ltd, Atom, Mott MacDonald, Empresa de Generacion Huallaga (EGH), Odebrecht Energia</v>
      </c>
      <c r="G120" s="6">
        <f ca="1">IFERROR(__xludf.DUMMYFUNCTION("""COMPUTED_VALUE"""),1.5)</f>
        <v>1.5</v>
      </c>
      <c r="H120" s="6" t="str">
        <f ca="1">IFERROR(__xludf.DUMMYFUNCTION("""COMPUTED_VALUE"""),"Energy - general")</f>
        <v>Energy - general</v>
      </c>
      <c r="I120" s="6" t="str">
        <f ca="1">IFERROR(__xludf.DUMMYFUNCTION("""COMPUTED_VALUE"""),"Investment")</f>
        <v>Investment</v>
      </c>
      <c r="J120" s="6" t="str">
        <f ca="1">IFERROR(__xludf.DUMMYFUNCTION("""COMPUTED_VALUE"""),"$1,390,000,000 USD")</f>
        <v>$1,390,000,000 USD</v>
      </c>
      <c r="K120" s="6" t="str">
        <f ca="1">IFERROR(__xludf.DUMMYFUNCTION("""COMPUTED_VALUE"""),"PER")</f>
        <v>PER</v>
      </c>
      <c r="L120" s="6" t="str">
        <f ca="1">IFERROR(__xludf.DUMMYFUNCTION("""COMPUTED_VALUE"""),"Peru")</f>
        <v>Peru</v>
      </c>
      <c r="M120" s="6" t="str">
        <f ca="1">IFERROR(__xludf.DUMMYFUNCTION("""COMPUTED_VALUE"""),"In the department of Huánuco, over the Huallaga River, in Peru's northern Andean mountain region")</f>
        <v>In the department of Huánuco, over the Huallaga River, in Peru's northern Andean mountain region</v>
      </c>
      <c r="N120" s="6" t="str">
        <f ca="1">IFERROR(__xludf.DUMMYFUNCTION("""COMPUTED_VALUE"""),"This project is developed by Odebrecht Energia’s subsidiary Empresa de Generación Huallaga (EGH). In August 2017, Odebrecht Latinvest entered an agreement with a consortium led by the China Three Gorges Corporation (CTG) to implement the Chaglla hydroelec"&amp;"tric plant. The Chaglla plant's installed capacity of 456MW accounts for approximately 5% of the total capacity in Peru and it is the country’s third largest hydroelectric plant. The project includes 21 miles (34 kilometers) of access roads, a reservoir 1"&amp;"1 miles (17.3 kilometers) long, and more than 14 miles (23 kilometers) of tunnels up to 39 feet (12 meters) in diameter. A 450-megawatt main powerhouse contains 2 generating units, and a separate powerhouse contains a single 6-megawatt unit for passing th"&amp;"e environmental flow. Contractors include Atom and Mott MacDonald.")</f>
        <v>This project is developed by Odebrecht Energia’s subsidiary Empresa de Generación Huallaga (EGH). In August 2017, Odebrecht Latinvest entered an agreement with a consortium led by the China Three Gorges Corporation (CTG) to implement the Chaglla hydroelectric plant. The Chaglla plant's installed capacity of 456MW accounts for approximately 5% of the total capacity in Peru and it is the country’s third largest hydroelectric plant. The project includes 21 miles (34 kilometers) of access roads, a reservoir 11 miles (17.3 kilometers) long, and more than 14 miles (23 kilometers) of tunnels up to 39 feet (12 meters) in diameter. A 450-megawatt main powerhouse contains 2 generating units, and a separate powerhouse contains a single 6-megawatt unit for passing the environmental flow. Contractors include Atom and Mott MacDonald.</v>
      </c>
      <c r="O120" s="6" t="str">
        <f ca="1">IFERROR(__xludf.DUMMYFUNCTION("""COMPUTED_VALUE"""),"08/00/2017")</f>
        <v>08/00/2017</v>
      </c>
      <c r="P120" s="6" t="str">
        <f ca="1">IFERROR(__xludf.DUMMYFUNCTION("""COMPUTED_VALUE"""),"NA")</f>
        <v>NA</v>
      </c>
      <c r="Q120" s="6" t="str">
        <f ca="1">IFERROR(__xludf.DUMMYFUNCTION("""COMPUTED_VALUE"""),"Under construction - on time")</f>
        <v>Under construction - on time</v>
      </c>
      <c r="R120" s="6" t="str">
        <f ca="1">IFERROR(__xludf.DUMMYFUNCTION("""COMPUTED_VALUE"""),"PSH")</f>
        <v>PSH</v>
      </c>
      <c r="S120" s="9" t="str">
        <f ca="1">IFERROR(__xludf.DUMMYFUNCTION("""COMPUTED_VALUE"""),"https://gist.github.com/Remy2020/aa6809d9bdaf43b3a3f343905a731c3f")</f>
        <v>https://gist.github.com/Remy2020/aa6809d9bdaf43b3a3f343905a731c3f</v>
      </c>
      <c r="T120" s="6" t="str">
        <f ca="1">IFERROR(__xludf.DUMMYFUNCTION("""COMPUTED_VALUE"""),"BLOB")</f>
        <v>BLOB</v>
      </c>
      <c r="U120" s="6" t="str">
        <f ca="1">IFERROR(__xludf.DUMMYFUNCTION("""COMPUTED_VALUE"""),"Used this article: http://www.rumbominero.com/revista/informes/central-hidroelectrica-de-chaglla/ and followed google maps")</f>
        <v>Used this article: http://www.rumbominero.com/revista/informes/central-hidroelectrica-de-chaglla/ and followed google maps</v>
      </c>
      <c r="V120" s="6" t="str">
        <f ca="1">IFERROR(__xludf.DUMMYFUNCTION("""COMPUTED_VALUE"""),"Yes (Both)")</f>
        <v>Yes (Both)</v>
      </c>
      <c r="W120" s="6" t="str">
        <f ca="1">IFERROR(__xludf.DUMMYFUNCTION("""COMPUTED_VALUE"""),"Huánuco")</f>
        <v>Huánuco</v>
      </c>
      <c r="X120" s="6"/>
      <c r="Y120" s="6"/>
      <c r="Z120" s="6"/>
      <c r="AA120" s="6"/>
      <c r="AB120" s="6"/>
      <c r="AC120" s="6"/>
      <c r="AD120" s="6"/>
      <c r="AE120" s="6"/>
      <c r="AF120" s="6"/>
      <c r="AG120" s="6"/>
    </row>
    <row r="121" spans="1:33" ht="171.6" x14ac:dyDescent="0.25">
      <c r="A121" s="6">
        <f ca="1">IFERROR(__xludf.DUMMYFUNCTION("""COMPUTED_VALUE"""),132)</f>
        <v>132</v>
      </c>
      <c r="B121" s="6">
        <f ca="1">IFERROR(__xludf.DUMMYFUNCTION("""COMPUTED_VALUE"""),4)</f>
        <v>4</v>
      </c>
      <c r="C121" s="6" t="str">
        <f ca="1">IFERROR(__xludf.DUMMYFUNCTION("""COMPUTED_VALUE"""),"San Gaban
III Project")</f>
        <v>San Gaban
III Project</v>
      </c>
      <c r="D121" s="6" t="str">
        <f ca="1">IFERROR(__xludf.DUMMYFUNCTION("""COMPUTED_VALUE"""),"CDB")</f>
        <v>CDB</v>
      </c>
      <c r="E121" s="6" t="str">
        <f ca="1">IFERROR(__xludf.DUMMYFUNCTION("""COMPUTED_VALUE"""),"China Development Bank and China Three Gorges")</f>
        <v>China Development Bank and China Three Gorges</v>
      </c>
      <c r="F121" s="6" t="str">
        <f ca="1">IFERROR(__xludf.DUMMYFUNCTION("""COMPUTED_VALUE"""),"Harbin Electric Machinery Co Ltd,
China Three Gorges, China International Water &amp; Electric Corporation,
Sinohydro Bureau 6 Co Ltd, Sinohydro Bureau 14 Co Ltd, Energias de Portugal")</f>
        <v>Harbin Electric Machinery Co Ltd,
China Three Gorges, China International Water &amp; Electric Corporation,
Sinohydro Bureau 6 Co Ltd, Sinohydro Bureau 14 Co Ltd, Energias de Portugal</v>
      </c>
      <c r="G121" s="6">
        <f ca="1">IFERROR(__xludf.DUMMYFUNCTION("""COMPUTED_VALUE"""),1.5)</f>
        <v>1.5</v>
      </c>
      <c r="H121" s="6" t="str">
        <f ca="1">IFERROR(__xludf.DUMMYFUNCTION("""COMPUTED_VALUE"""),"Energy - general")</f>
        <v>Energy - general</v>
      </c>
      <c r="I121" s="6" t="str">
        <f ca="1">IFERROR(__xludf.DUMMYFUNCTION("""COMPUTED_VALUE"""),"Loan")</f>
        <v>Loan</v>
      </c>
      <c r="J121" s="6" t="str">
        <f ca="1">IFERROR(__xludf.DUMMYFUNCTION("""COMPUTED_VALUE"""),"$365,000,000 USD")</f>
        <v>$365,000,000 USD</v>
      </c>
      <c r="K121" s="6" t="str">
        <f ca="1">IFERROR(__xludf.DUMMYFUNCTION("""COMPUTED_VALUE"""),"PER")</f>
        <v>PER</v>
      </c>
      <c r="L121" s="6" t="str">
        <f ca="1">IFERROR(__xludf.DUMMYFUNCTION("""COMPUTED_VALUE"""),"Peru")</f>
        <v>Peru</v>
      </c>
      <c r="M121" s="6" t="str">
        <f ca="1">IFERROR(__xludf.DUMMYFUNCTION("""COMPUTED_VALUE"""),"San Gabon district,
Carabaya province,
Puno region, Peru")</f>
        <v>San Gabon district,
Carabaya province,
Puno region, Peru</v>
      </c>
      <c r="N121" s="6" t="str">
        <f ca="1">IFERROR(__xludf.DUMMYFUNCTION("""COMPUTED_VALUE"""),"In 2017, China Three Gorges Corporation and China Development Bank (CDB) signed an agreement on financing the 206 MW San Gabon III Project in Peru. CDB will provide $365 million in 19-year loans. China Three Gorges Corporation is additionally part of a mu"&amp;"lti-party deal to finance and construct the project, however, the exact financial contribution of CTG is unknown. The project was developed by Hydro Global Peru. China Three Gorges and Energias de Portugal are both 50% shareholders. The development includ"&amp;"es a powerhouse containing two vertical Pelton turbine-generator units and 220-kV transmission line connecting to the Onocora or Azangaro substations. It is expected to generate 1,263 GWh of electricity annually. Chinese company Harbin Electric Group is r"&amp;"esponsible for the setup of the 2 sets of 104.65MW impulse turbine generator set main equipment. The project has a planned construction period of 48 months.")</f>
        <v>In 2017, China Three Gorges Corporation and China Development Bank (CDB) signed an agreement on financing the 206 MW San Gabon III Project in Peru. CDB will provide $365 million in 19-year loans. China Three Gorges Corporation is additionally part of a multi-party deal to finance and construct the project, however, the exact financial contribution of CTG is unknown. The project was developed by Hydro Global Peru. China Three Gorges and Energias de Portugal are both 50% shareholders. The development includes a powerhouse containing two vertical Pelton turbine-generator units and 220-kV transmission line connecting to the Onocora or Azangaro substations. It is expected to generate 1,263 GWh of electricity annually. Chinese company Harbin Electric Group is responsible for the setup of the 2 sets of 104.65MW impulse turbine generator set main equipment. The project has a planned construction period of 48 months.</v>
      </c>
      <c r="O121" s="12">
        <f ca="1">IFERROR(__xludf.DUMMYFUNCTION("""COMPUTED_VALUE"""),42979)</f>
        <v>42979</v>
      </c>
      <c r="P121" s="6" t="str">
        <f ca="1">IFERROR(__xludf.DUMMYFUNCTION("""COMPUTED_VALUE"""),"NA")</f>
        <v>NA</v>
      </c>
      <c r="Q121" s="6" t="str">
        <f ca="1">IFERROR(__xludf.DUMMYFUNCTION("""COMPUTED_VALUE"""),"Under construction - on time")</f>
        <v>Under construction - on time</v>
      </c>
      <c r="R121" s="6" t="str">
        <f ca="1">IFERROR(__xludf.DUMMYFUNCTION("""COMPUTED_VALUE"""),"PSH")</f>
        <v>PSH</v>
      </c>
      <c r="S121" s="9" t="str">
        <f ca="1">IFERROR(__xludf.DUMMYFUNCTION("""COMPUTED_VALUE"""),"https://gist.github.com/Remy2020/e241a602cf86fe1c0872eec7b652868d")</f>
        <v>https://gist.github.com/Remy2020/e241a602cf86fe1c0872eec7b652868d</v>
      </c>
      <c r="T121" s="6" t="str">
        <f ca="1">IFERROR(__xludf.DUMMYFUNCTION("""COMPUTED_VALUE"""),"ADM1")</f>
        <v>ADM1</v>
      </c>
      <c r="U121" s="6" t="str">
        <f ca="1">IFERROR(__xludf.DUMMYFUNCTION("""COMPUTED_VALUE"""),"Carretera Interoceanica 520, Urohuasi 21270, Peru - http://www.cesel.com.pe/webin/projects_066300_ch_san_gabanII_110mw.html - references to San Gaban ii - San Gabon iii should be around the same area - http://www.botschaft-peru.de/pdf/project_portfolio_su"&amp;"mmary_energy.pdf shows that San Gabon iii is in Puno region. Should be within a square km of lat: -13.44839, lon: -70.40382 based on graphic here (https://www.bnamericas.com/en/news/peru-power-sector-watch10)")</f>
        <v>Carretera Interoceanica 520, Urohuasi 21270, Peru - http://www.cesel.com.pe/webin/projects_066300_ch_san_gabanII_110mw.html - references to San Gaban ii - San Gabon iii should be around the same area - http://www.botschaft-peru.de/pdf/project_portfolio_summary_energy.pdf shows that San Gabon iii is in Puno region. Should be within a square km of lat: -13.44839, lon: -70.40382 based on graphic here (https://www.bnamericas.com/en/news/peru-power-sector-watch10)</v>
      </c>
      <c r="V121" s="6" t="str">
        <f ca="1">IFERROR(__xludf.DUMMYFUNCTION("""COMPUTED_VALUE"""),"Yes (Both)")</f>
        <v>Yes (Both)</v>
      </c>
      <c r="W121" s="6" t="str">
        <f ca="1">IFERROR(__xludf.DUMMYFUNCTION("""COMPUTED_VALUE"""),"Puno")</f>
        <v>Puno</v>
      </c>
      <c r="X121" s="6"/>
      <c r="Y121" s="6"/>
      <c r="Z121" s="6"/>
      <c r="AA121" s="6"/>
      <c r="AB121" s="6"/>
      <c r="AC121" s="6"/>
      <c r="AD121" s="6"/>
      <c r="AE121" s="6"/>
      <c r="AF121" s="6"/>
      <c r="AG121" s="6"/>
    </row>
    <row r="122" spans="1:33" ht="92.4" x14ac:dyDescent="0.25">
      <c r="A122" s="6">
        <f ca="1">IFERROR(__xludf.DUMMYFUNCTION("""COMPUTED_VALUE"""),133)</f>
        <v>133</v>
      </c>
      <c r="B122" s="6">
        <f ca="1">IFERROR(__xludf.DUMMYFUNCTION("""COMPUTED_VALUE"""),6)</f>
        <v>6</v>
      </c>
      <c r="C122" s="6" t="str">
        <f ca="1">IFERROR(__xludf.DUMMYFUNCTION("""COMPUTED_VALUE"""),"El Espino-Charagua-Boyuibe Highway Program")</f>
        <v>El Espino-Charagua-Boyuibe Highway Program</v>
      </c>
      <c r="D122" s="6" t="str">
        <f ca="1">IFERROR(__xludf.DUMMYFUNCTION("""COMPUTED_VALUE"""),"Other Chinese Institution")</f>
        <v>Other Chinese Institution</v>
      </c>
      <c r="E122" s="6" t="str">
        <f ca="1">IFERROR(__xludf.DUMMYFUNCTION("""COMPUTED_VALUE"""),"Vague")</f>
        <v>Vague</v>
      </c>
      <c r="F122" s="6" t="str">
        <f ca="1">IFERROR(__xludf.DUMMYFUNCTION("""COMPUTED_VALUE"""),"China Railway Group Limited (CREC) and Bolivian Highway Administration (ABC) ")</f>
        <v xml:space="preserve">China Railway Group Limited (CREC) and Bolivian Highway Administration (ABC) </v>
      </c>
      <c r="G122" s="6">
        <f ca="1">IFERROR(__xludf.DUMMYFUNCTION("""COMPUTED_VALUE"""),1.3)</f>
        <v>1.3</v>
      </c>
      <c r="H122" s="6" t="str">
        <f ca="1">IFERROR(__xludf.DUMMYFUNCTION("""COMPUTED_VALUE"""),"Road")</f>
        <v>Road</v>
      </c>
      <c r="I122" s="6" t="str">
        <f ca="1">IFERROR(__xludf.DUMMYFUNCTION("""COMPUTED_VALUE"""),"Vague")</f>
        <v>Vague</v>
      </c>
      <c r="J122" s="6" t="str">
        <f ca="1">IFERROR(__xludf.DUMMYFUNCTION("""COMPUTED_VALUE"""),"N/A")</f>
        <v>N/A</v>
      </c>
      <c r="K122" s="6" t="str">
        <f ca="1">IFERROR(__xludf.DUMMYFUNCTION("""COMPUTED_VALUE"""),"BOL")</f>
        <v>BOL</v>
      </c>
      <c r="L122" s="6" t="str">
        <f ca="1">IFERROR(__xludf.DUMMYFUNCTION("""COMPUTED_VALUE"""),"Bolivia")</f>
        <v>Bolivia</v>
      </c>
      <c r="M122" s="6" t="str">
        <f ca="1">IFERROR(__xludf.DUMMYFUNCTION("""COMPUTED_VALUE"""),"Will connect Santa Cruz, Chuquisace, and Tarija in Bolivia, as well as neighboring countries Paraguay and Argentina")</f>
        <v>Will connect Santa Cruz, Chuquisace, and Tarija in Bolivia, as well as neighboring countries Paraguay and Argentina</v>
      </c>
      <c r="N122" s="6" t="str">
        <f ca="1">IFERROR(__xludf.DUMMYFUNCTION("""COMPUTED_VALUE"""),"Spannign 160 kilometers, the highway will directly link Santa Cruz, Chuquisace, and Tarija in Bolivia, and the neighboring countries of Paraguay and Argentina. It is a flagship project within the BRI in Bolivia. The highway aims to increase efficiency and"&amp;" ease of transporting goods and services in Bolivia, and reportedly eventually other South Americans and Chinese consumers. The funder of this project is currently vague, and it is being implemented by the China Railway Group Limited (CREC) and Bolivian H"&amp;"ighway Administration (ABC). CREC 's major shareholder is the state-owned China Railway Engineering Corporation (CRECG), and thus operates as a Chinese state-owned company. After the completion of the Parapeti Bridge in February 2020, it is expected to be"&amp;" 50% complete. However, the starting date of construction is vague. There is no announced expected completion date.")</f>
        <v>Spannign 160 kilometers, the highway will directly link Santa Cruz, Chuquisace, and Tarija in Bolivia, and the neighboring countries of Paraguay and Argentina. It is a flagship project within the BRI in Bolivia. The highway aims to increase efficiency and ease of transporting goods and services in Bolivia, and reportedly eventually other South Americans and Chinese consumers. The funder of this project is currently vague, and it is being implemented by the China Railway Group Limited (CREC) and Bolivian Highway Administration (ABC). CREC 's major shareholder is the state-owned China Railway Engineering Corporation (CRECG), and thus operates as a Chinese state-owned company. After the completion of the Parapeti Bridge in February 2020, it is expected to be 50% complete. However, the starting date of construction is vague. There is no announced expected completion date.</v>
      </c>
      <c r="O122" s="6" t="str">
        <f ca="1">IFERROR(__xludf.DUMMYFUNCTION("""COMPUTED_VALUE"""),"Vague")</f>
        <v>Vague</v>
      </c>
      <c r="P122" s="6" t="str">
        <f ca="1">IFERROR(__xludf.DUMMYFUNCTION("""COMPUTED_VALUE"""),"N/A")</f>
        <v>N/A</v>
      </c>
      <c r="Q122" s="6" t="str">
        <f ca="1">IFERROR(__xludf.DUMMYFUNCTION("""COMPUTED_VALUE"""),"Under construction - unknown")</f>
        <v>Under construction - unknown</v>
      </c>
      <c r="R122" s="6" t="str">
        <f ca="1">IFERROR(__xludf.DUMMYFUNCTION("""COMPUTED_VALUE"""),"RD")</f>
        <v>RD</v>
      </c>
      <c r="S122" s="6" t="str">
        <f ca="1">IFERROR(__xludf.DUMMYFUNCTION("""COMPUTED_VALUE"""),"BOL-ADM1-3_0_0-B3")</f>
        <v>BOL-ADM1-3_0_0-B3</v>
      </c>
      <c r="T122" s="6" t="str">
        <f ca="1">IFERROR(__xludf.DUMMYFUNCTION("""COMPUTED_VALUE"""),"ADM1")</f>
        <v>ADM1</v>
      </c>
      <c r="U122" s="6" t="str">
        <f ca="1">IFERROR(__xludf.DUMMYFUNCTION("""COMPUTED_VALUE"""),"https://www.silkroadbriefing.com/news/2020/11/06/south-american-belt-and-road-projects-foreign-investors-should-be-looking-at/ | geocoded up the the ADM1 level of Santa Cruz Department")</f>
        <v>https://www.silkroadbriefing.com/news/2020/11/06/south-american-belt-and-road-projects-foreign-investors-should-be-looking-at/ | geocoded up the the ADM1 level of Santa Cruz Department</v>
      </c>
      <c r="V122" s="6" t="str">
        <f ca="1">IFERROR(__xludf.DUMMYFUNCTION("""COMPUTED_VALUE"""),"Yes (Both)")</f>
        <v>Yes (Both)</v>
      </c>
      <c r="W122" s="6" t="str">
        <f ca="1">IFERROR(__xludf.DUMMYFUNCTION("""COMPUTED_VALUE"""),"Santa Cruz")</f>
        <v>Santa Cruz</v>
      </c>
      <c r="X122" s="6"/>
      <c r="Y122" s="6"/>
      <c r="Z122" s="6"/>
      <c r="AA122" s="6"/>
      <c r="AB122" s="6"/>
      <c r="AC122" s="6"/>
      <c r="AD122" s="6"/>
      <c r="AE122" s="6"/>
      <c r="AF122" s="6"/>
      <c r="AG122" s="6"/>
    </row>
    <row r="123" spans="1:33" ht="79.2" x14ac:dyDescent="0.25">
      <c r="A123" s="6">
        <f ca="1">IFERROR(__xludf.DUMMYFUNCTION("""COMPUTED_VALUE"""),134)</f>
        <v>134</v>
      </c>
      <c r="B123" s="6">
        <f ca="1">IFERROR(__xludf.DUMMYFUNCTION("""COMPUTED_VALUE"""),6)</f>
        <v>6</v>
      </c>
      <c r="C123" s="6" t="str">
        <f ca="1">IFERROR(__xludf.DUMMYFUNCTION("""COMPUTED_VALUE"""),"Parapeti Bridge")</f>
        <v>Parapeti Bridge</v>
      </c>
      <c r="D123" s="6" t="str">
        <f ca="1">IFERROR(__xludf.DUMMYFUNCTION("""COMPUTED_VALUE"""),"Other Chinese Institution")</f>
        <v>Other Chinese Institution</v>
      </c>
      <c r="E123" s="6" t="str">
        <f ca="1">IFERROR(__xludf.DUMMYFUNCTION("""COMPUTED_VALUE"""),"Vague")</f>
        <v>Vague</v>
      </c>
      <c r="F123" s="6" t="str">
        <f ca="1">IFERROR(__xludf.DUMMYFUNCTION("""COMPUTED_VALUE"""),"China Railway Group Limited (CREC) and Bolivian Highway Administration (ABC) ")</f>
        <v xml:space="preserve">China Railway Group Limited (CREC) and Bolivian Highway Administration (ABC) </v>
      </c>
      <c r="G123" s="6">
        <f ca="1">IFERROR(__xludf.DUMMYFUNCTION("""COMPUTED_VALUE"""),1.3)</f>
        <v>1.3</v>
      </c>
      <c r="H123" s="6" t="str">
        <f ca="1">IFERROR(__xludf.DUMMYFUNCTION("""COMPUTED_VALUE"""),"Bridge")</f>
        <v>Bridge</v>
      </c>
      <c r="I123" s="6" t="str">
        <f ca="1">IFERROR(__xludf.DUMMYFUNCTION("""COMPUTED_VALUE"""),"Vague")</f>
        <v>Vague</v>
      </c>
      <c r="J123" s="6" t="str">
        <f ca="1">IFERROR(__xludf.DUMMYFUNCTION("""COMPUTED_VALUE"""),"N/A")</f>
        <v>N/A</v>
      </c>
      <c r="K123" s="6" t="str">
        <f ca="1">IFERROR(__xludf.DUMMYFUNCTION("""COMPUTED_VALUE"""),"BOL")</f>
        <v>BOL</v>
      </c>
      <c r="L123" s="6" t="str">
        <f ca="1">IFERROR(__xludf.DUMMYFUNCTION("""COMPUTED_VALUE"""),"Bolivia")</f>
        <v>Bolivia</v>
      </c>
      <c r="M123" s="6" t="str">
        <f ca="1">IFERROR(__xludf.DUMMYFUNCTION("""COMPUTED_VALUE"""),"Santa Cruz, Bolivia")</f>
        <v>Santa Cruz, Bolivia</v>
      </c>
      <c r="N123" s="6" t="str">
        <f ca="1">IFERROR(__xludf.DUMMYFUNCTION("""COMPUTED_VALUE"""),"This new bridge over the Parapeti River replaces an old, aging bridge that was reportably extremely dangerous to cross. The new 306-meter-long bridge runs parallel to the old bridge and connects various Gauraní (an ingigenous group in Bolivia's southern l"&amp;"owlands) groups. It is one of the four longest bridges in the El Espino-Charagua-Bouyuibe Highway project. The funder of this project is currently vague, and the project is being implemented by the China Railway Group Limited (CREC) and Bolivian Highway A"&amp;"dministration (ABC). CREC's major shareholder is the state-owned China Railway Engineering Corporation (CRECG), and thus operates as a Chinese state-owned company. ")</f>
        <v xml:space="preserve">This new bridge over the Parapeti River replaces an old, aging bridge that was reportably extremely dangerous to cross. The new 306-meter-long bridge runs parallel to the old bridge and connects various Gauraní (an ingigenous group in Bolivia's southern lowlands) groups. It is one of the four longest bridges in the El Espino-Charagua-Bouyuibe Highway project. The funder of this project is currently vague, and the project is being implemented by the China Railway Group Limited (CREC) and Bolivian Highway Administration (ABC). CREC's major shareholder is the state-owned China Railway Engineering Corporation (CRECG), and thus operates as a Chinese state-owned company. </v>
      </c>
      <c r="O123" s="6" t="str">
        <f ca="1">IFERROR(__xludf.DUMMYFUNCTION("""COMPUTED_VALUE"""),"00/00/2019")</f>
        <v>00/00/2019</v>
      </c>
      <c r="P123" s="6" t="str">
        <f ca="1">IFERROR(__xludf.DUMMYFUNCTION("""COMPUTED_VALUE"""),"Opened to traffic on 2/7/2020")</f>
        <v>Opened to traffic on 2/7/2020</v>
      </c>
      <c r="Q123" s="6" t="str">
        <f ca="1">IFERROR(__xludf.DUMMYFUNCTION("""COMPUTED_VALUE"""),"Completed")</f>
        <v>Completed</v>
      </c>
      <c r="R123" s="6" t="str">
        <f ca="1">IFERROR(__xludf.DUMMYFUNCTION("""COMPUTED_VALUE"""),"BDG")</f>
        <v>BDG</v>
      </c>
      <c r="S123" s="9" t="str">
        <f ca="1">IFERROR(__xludf.DUMMYFUNCTION("""COMPUTED_VALUE"""),"https://gist.github.com/Remy2020/4e146e8bada298e46ec6f18587b7ed15")</f>
        <v>https://gist.github.com/Remy2020/4e146e8bada298e46ec6f18587b7ed15</v>
      </c>
      <c r="T123" s="6" t="str">
        <f ca="1">IFERROR(__xludf.DUMMYFUNCTION("""COMPUTED_VALUE"""),"BLOB")</f>
        <v>BLOB</v>
      </c>
      <c r="U123" s="6" t="str">
        <f ca="1">IFERROR(__xludf.DUMMYFUNCTION("""COMPUTED_VALUE"""),"Found bridge on google earth and then confirmed it as bridge using images from this websites's video | http://www.xinhuanet.com/english/2020-02/09/c_138768523.htm ")</f>
        <v xml:space="preserve">Found bridge on google earth and then confirmed it as bridge using images from this websites's video | http://www.xinhuanet.com/english/2020-02/09/c_138768523.htm </v>
      </c>
      <c r="V123" s="6" t="str">
        <f ca="1">IFERROR(__xludf.DUMMYFUNCTION("""COMPUTED_VALUE"""),"Yes (Both)")</f>
        <v>Yes (Both)</v>
      </c>
      <c r="W123" s="6" t="str">
        <f ca="1">IFERROR(__xludf.DUMMYFUNCTION("""COMPUTED_VALUE"""),"Santa Cruz")</f>
        <v>Santa Cruz</v>
      </c>
      <c r="X123" s="6"/>
      <c r="Y123" s="6"/>
      <c r="Z123" s="6"/>
      <c r="AA123" s="6"/>
      <c r="AB123" s="6"/>
      <c r="AC123" s="6"/>
      <c r="AD123" s="6"/>
      <c r="AE123" s="6"/>
      <c r="AF123" s="6"/>
      <c r="AG123" s="6"/>
    </row>
    <row r="124" spans="1:33" ht="66" x14ac:dyDescent="0.25">
      <c r="A124" s="6">
        <f ca="1">IFERROR(__xludf.DUMMYFUNCTION("""COMPUTED_VALUE"""),135)</f>
        <v>135</v>
      </c>
      <c r="B124" s="6">
        <f ca="1">IFERROR(__xludf.DUMMYFUNCTION("""COMPUTED_VALUE"""),3)</f>
        <v>3</v>
      </c>
      <c r="C124" s="6" t="str">
        <f ca="1">IFERROR(__xludf.DUMMYFUNCTION("""COMPUTED_VALUE"""),"Saipuru Brige")</f>
        <v>Saipuru Brige</v>
      </c>
      <c r="D124" s="6" t="str">
        <f ca="1">IFERROR(__xludf.DUMMYFUNCTION("""COMPUTED_VALUE"""),"Other Chinese Institution")</f>
        <v>Other Chinese Institution</v>
      </c>
      <c r="E124" s="6" t="str">
        <f ca="1">IFERROR(__xludf.DUMMYFUNCTION("""COMPUTED_VALUE"""),"Vague")</f>
        <v>Vague</v>
      </c>
      <c r="F124" s="6" t="str">
        <f ca="1">IFERROR(__xludf.DUMMYFUNCTION("""COMPUTED_VALUE"""),"China Railway Group Limited (CREC) and Bolivian Highway Administration (ABC) ")</f>
        <v xml:space="preserve">China Railway Group Limited (CREC) and Bolivian Highway Administration (ABC) </v>
      </c>
      <c r="G124" s="6">
        <f ca="1">IFERROR(__xludf.DUMMYFUNCTION("""COMPUTED_VALUE"""),1.3)</f>
        <v>1.3</v>
      </c>
      <c r="H124" s="6" t="str">
        <f ca="1">IFERROR(__xludf.DUMMYFUNCTION("""COMPUTED_VALUE"""),"Bridge")</f>
        <v>Bridge</v>
      </c>
      <c r="I124" s="6" t="str">
        <f ca="1">IFERROR(__xludf.DUMMYFUNCTION("""COMPUTED_VALUE"""),"Vague")</f>
        <v>Vague</v>
      </c>
      <c r="J124" s="6" t="str">
        <f ca="1">IFERROR(__xludf.DUMMYFUNCTION("""COMPUTED_VALUE"""),"N/A")</f>
        <v>N/A</v>
      </c>
      <c r="K124" s="6" t="str">
        <f ca="1">IFERROR(__xludf.DUMMYFUNCTION("""COMPUTED_VALUE"""),"BOL")</f>
        <v>BOL</v>
      </c>
      <c r="L124" s="6" t="str">
        <f ca="1">IFERROR(__xludf.DUMMYFUNCTION("""COMPUTED_VALUE"""),"Bolivia")</f>
        <v>Bolivia</v>
      </c>
      <c r="M124" s="6" t="str">
        <f ca="1">IFERROR(__xludf.DUMMYFUNCTION("""COMPUTED_VALUE"""),"Santa Cruz, Bolivia")</f>
        <v>Santa Cruz, Bolivia</v>
      </c>
      <c r="N124" s="6" t="str">
        <f ca="1">IFERROR(__xludf.DUMMYFUNCTION("""COMPUTED_VALUE"""),"The China Railway Group Limited (CREC) is expected to lead the construction of the Saipuru Bridge. The bridge will be located in Santa Cruz, Bolivia and will be part of the El Espino-Charagua-Boyuibe Highway. The funder of this project is currently vague,"&amp;" and the project is being implemented by the China Railway Group Limited (CREC) and Bolivian Highway Administration (ABC). CREC's major shareholder is the state-owned China Railway Engineering Corporation (CRECG), and thus operates as a Chinese state-owne"&amp;"d company. Construction has not started yet.")</f>
        <v>The China Railway Group Limited (CREC) is expected to lead the construction of the Saipuru Bridge. The bridge will be located in Santa Cruz, Bolivia and will be part of the El Espino-Charagua-Boyuibe Highway. The funder of this project is currently vague, and the project is being implemented by the China Railway Group Limited (CREC) and Bolivian Highway Administration (ABC). CREC's major shareholder is the state-owned China Railway Engineering Corporation (CRECG), and thus operates as a Chinese state-owned company. Construction has not started yet.</v>
      </c>
      <c r="O124" s="6" t="str">
        <f ca="1">IFERROR(__xludf.DUMMYFUNCTION("""COMPUTED_VALUE"""),"N/A")</f>
        <v>N/A</v>
      </c>
      <c r="P124" s="6" t="str">
        <f ca="1">IFERROR(__xludf.DUMMYFUNCTION("""COMPUTED_VALUE"""),"N/A")</f>
        <v>N/A</v>
      </c>
      <c r="Q124" s="6" t="str">
        <f ca="1">IFERROR(__xludf.DUMMYFUNCTION("""COMPUTED_VALUE"""),"Proposed - formal")</f>
        <v>Proposed - formal</v>
      </c>
      <c r="R124" s="6" t="str">
        <f ca="1">IFERROR(__xludf.DUMMYFUNCTION("""COMPUTED_VALUE"""),"BDG")</f>
        <v>BDG</v>
      </c>
      <c r="S124" s="6" t="str">
        <f ca="1">IFERROR(__xludf.DUMMYFUNCTION("""COMPUTED_VALUE"""),"BOL-ADM1-3_0_0-B3")</f>
        <v>BOL-ADM1-3_0_0-B3</v>
      </c>
      <c r="T124" s="6" t="str">
        <f ca="1">IFERROR(__xludf.DUMMYFUNCTION("""COMPUTED_VALUE"""),"BLOB")</f>
        <v>BLOB</v>
      </c>
      <c r="U124" s="6" t="str">
        <f ca="1">IFERROR(__xludf.DUMMYFUNCTION("""COMPUTED_VALUE"""),"Used information in this article http://www.china.org.cn/world/2020-02/09/content_75687577.htm and then geocoded up to Santa Cruz Department ")</f>
        <v xml:space="preserve">Used information in this article http://www.china.org.cn/world/2020-02/09/content_75687577.htm and then geocoded up to Santa Cruz Department </v>
      </c>
      <c r="V124" s="6" t="str">
        <f ca="1">IFERROR(__xludf.DUMMYFUNCTION("""COMPUTED_VALUE"""),"Yes (Both)")</f>
        <v>Yes (Both)</v>
      </c>
      <c r="W124" s="6" t="str">
        <f ca="1">IFERROR(__xludf.DUMMYFUNCTION("""COMPUTED_VALUE"""),"Santa Cruz")</f>
        <v>Santa Cruz</v>
      </c>
      <c r="X124" s="6"/>
      <c r="Y124" s="6"/>
      <c r="Z124" s="6"/>
      <c r="AA124" s="6"/>
      <c r="AB124" s="6"/>
      <c r="AC124" s="6"/>
      <c r="AD124" s="6"/>
      <c r="AE124" s="6"/>
      <c r="AF124" s="6"/>
      <c r="AG124" s="6"/>
    </row>
    <row r="125" spans="1:33" ht="66" x14ac:dyDescent="0.25">
      <c r="A125" s="6">
        <f ca="1">IFERROR(__xludf.DUMMYFUNCTION("""COMPUTED_VALUE"""),136)</f>
        <v>136</v>
      </c>
      <c r="B125" s="6">
        <f ca="1">IFERROR(__xludf.DUMMYFUNCTION("""COMPUTED_VALUE"""),2)</f>
        <v>2</v>
      </c>
      <c r="C125" s="6" t="str">
        <f ca="1">IFERROR(__xludf.DUMMYFUNCTION("""COMPUTED_VALUE"""),"Cuevo Bridge")</f>
        <v>Cuevo Bridge</v>
      </c>
      <c r="D125" s="6" t="str">
        <f ca="1">IFERROR(__xludf.DUMMYFUNCTION("""COMPUTED_VALUE"""),"Other Chinese Institution")</f>
        <v>Other Chinese Institution</v>
      </c>
      <c r="E125" s="6" t="str">
        <f ca="1">IFERROR(__xludf.DUMMYFUNCTION("""COMPUTED_VALUE"""),"Vague")</f>
        <v>Vague</v>
      </c>
      <c r="F125" s="6" t="str">
        <f ca="1">IFERROR(__xludf.DUMMYFUNCTION("""COMPUTED_VALUE"""),"China Railway Group Limited (CREC) and Bolivian Highway Administration (ABC) ")</f>
        <v xml:space="preserve">China Railway Group Limited (CREC) and Bolivian Highway Administration (ABC) </v>
      </c>
      <c r="G125" s="6">
        <f ca="1">IFERROR(__xludf.DUMMYFUNCTION("""COMPUTED_VALUE"""),1.3)</f>
        <v>1.3</v>
      </c>
      <c r="H125" s="6" t="str">
        <f ca="1">IFERROR(__xludf.DUMMYFUNCTION("""COMPUTED_VALUE"""),"Bridge")</f>
        <v>Bridge</v>
      </c>
      <c r="I125" s="6" t="str">
        <f ca="1">IFERROR(__xludf.DUMMYFUNCTION("""COMPUTED_VALUE"""),"Vague")</f>
        <v>Vague</v>
      </c>
      <c r="J125" s="6" t="str">
        <f ca="1">IFERROR(__xludf.DUMMYFUNCTION("""COMPUTED_VALUE"""),"N/A")</f>
        <v>N/A</v>
      </c>
      <c r="K125" s="6" t="str">
        <f ca="1">IFERROR(__xludf.DUMMYFUNCTION("""COMPUTED_VALUE"""),"BOL")</f>
        <v>BOL</v>
      </c>
      <c r="L125" s="6" t="str">
        <f ca="1">IFERROR(__xludf.DUMMYFUNCTION("""COMPUTED_VALUE"""),"Bolivia")</f>
        <v>Bolivia</v>
      </c>
      <c r="M125" s="6" t="str">
        <f ca="1">IFERROR(__xludf.DUMMYFUNCTION("""COMPUTED_VALUE"""),"Santa Cruz, Bolivia")</f>
        <v>Santa Cruz, Bolivia</v>
      </c>
      <c r="N125" s="6" t="str">
        <f ca="1">IFERROR(__xludf.DUMMYFUNCTION("""COMPUTED_VALUE"""),"The China Railway Group Limited (CREC) is expected to lead the construction of the Cuevo Bridge. The bridge will be located in Santa Cruz, Bolivia and will be part of the El Espino-Charagua-Boyuibe Highway. The funder of this project is currently vague, a"&amp;"nd the project is being implemented by the China Railway Group Limited (CREC) and Bolivian Highway Administration (ABC). CREC's major shareholder is the state-owned China Railway Engineering Corporation (CRECG), and thus operates as a Chinese state-owned "&amp;"company. Construction has not started yet.")</f>
        <v>The China Railway Group Limited (CREC) is expected to lead the construction of the Cuevo Bridge. The bridge will be located in Santa Cruz, Bolivia and will be part of the El Espino-Charagua-Boyuibe Highway. The funder of this project is currently vague, and the project is being implemented by the China Railway Group Limited (CREC) and Bolivian Highway Administration (ABC). CREC's major shareholder is the state-owned China Railway Engineering Corporation (CRECG), and thus operates as a Chinese state-owned company. Construction has not started yet.</v>
      </c>
      <c r="O125" s="6" t="str">
        <f ca="1">IFERROR(__xludf.DUMMYFUNCTION("""COMPUTED_VALUE"""),"N/A")</f>
        <v>N/A</v>
      </c>
      <c r="P125" s="6" t="str">
        <f ca="1">IFERROR(__xludf.DUMMYFUNCTION("""COMPUTED_VALUE"""),"N/A")</f>
        <v>N/A</v>
      </c>
      <c r="Q125" s="6" t="str">
        <f ca="1">IFERROR(__xludf.DUMMYFUNCTION("""COMPUTED_VALUE"""),"Proposed - formal")</f>
        <v>Proposed - formal</v>
      </c>
      <c r="R125" s="6" t="str">
        <f ca="1">IFERROR(__xludf.DUMMYFUNCTION("""COMPUTED_VALUE"""),"BDG")</f>
        <v>BDG</v>
      </c>
      <c r="S125" s="6" t="str">
        <f ca="1">IFERROR(__xludf.DUMMYFUNCTION("""COMPUTED_VALUE"""),"BOL-ADM1-3_0_0-B3")</f>
        <v>BOL-ADM1-3_0_0-B3</v>
      </c>
      <c r="T125" s="6" t="str">
        <f ca="1">IFERROR(__xludf.DUMMYFUNCTION("""COMPUTED_VALUE"""),"BLOB")</f>
        <v>BLOB</v>
      </c>
      <c r="U125" s="6" t="str">
        <f ca="1">IFERROR(__xludf.DUMMYFUNCTION("""COMPUTED_VALUE"""),"Used information in this article http://www.china.org.cn/world/2020-02/09/content_75687577.htm and then geocoded up to Santa Cruz Department ")</f>
        <v xml:space="preserve">Used information in this article http://www.china.org.cn/world/2020-02/09/content_75687577.htm and then geocoded up to Santa Cruz Department </v>
      </c>
      <c r="V125" s="6" t="str">
        <f ca="1">IFERROR(__xludf.DUMMYFUNCTION("""COMPUTED_VALUE"""),"Yes (Both)")</f>
        <v>Yes (Both)</v>
      </c>
      <c r="W125" s="6" t="str">
        <f ca="1">IFERROR(__xludf.DUMMYFUNCTION("""COMPUTED_VALUE"""),"Santa Cruz")</f>
        <v>Santa Cruz</v>
      </c>
      <c r="X125" s="6"/>
      <c r="Y125" s="6"/>
      <c r="Z125" s="6"/>
      <c r="AA125" s="6"/>
      <c r="AB125" s="6"/>
      <c r="AC125" s="6"/>
      <c r="AD125" s="6"/>
      <c r="AE125" s="6"/>
      <c r="AF125" s="6"/>
      <c r="AG125" s="6"/>
    </row>
    <row r="126" spans="1:33" ht="92.4" x14ac:dyDescent="0.25">
      <c r="A126" s="6">
        <f ca="1">IFERROR(__xludf.DUMMYFUNCTION("""COMPUTED_VALUE"""),137)</f>
        <v>137</v>
      </c>
      <c r="B126" s="6">
        <f ca="1">IFERROR(__xludf.DUMMYFUNCTION("""COMPUTED_VALUE"""),4)</f>
        <v>4</v>
      </c>
      <c r="C126" s="6" t="str">
        <f ca="1">IFERROR(__xludf.DUMMYFUNCTION("""COMPUTED_VALUE"""),"YLB Lithium Joint Venture Projects")</f>
        <v>YLB Lithium Joint Venture Projects</v>
      </c>
      <c r="D126" s="6" t="str">
        <f ca="1">IFERROR(__xludf.DUMMYFUNCTION("""COMPUTED_VALUE"""),"Other Chinese Institution")</f>
        <v>Other Chinese Institution</v>
      </c>
      <c r="E126" s="6" t="str">
        <f ca="1">IFERROR(__xludf.DUMMYFUNCTION("""COMPUTED_VALUE"""),"Xinjiang TBEA Group Co Ltd")</f>
        <v>Xinjiang TBEA Group Co Ltd</v>
      </c>
      <c r="F126" s="6" t="str">
        <f ca="1">IFERROR(__xludf.DUMMYFUNCTION("""COMPUTED_VALUE"""),"YLB (Bolivia's state lithium company)")</f>
        <v>YLB (Bolivia's state lithium company)</v>
      </c>
      <c r="G126" s="6">
        <f ca="1">IFERROR(__xludf.DUMMYFUNCTION("""COMPUTED_VALUE"""),3)</f>
        <v>3</v>
      </c>
      <c r="H126" s="6" t="str">
        <f ca="1">IFERROR(__xludf.DUMMYFUNCTION("""COMPUTED_VALUE"""),"Natural Resources")</f>
        <v>Natural Resources</v>
      </c>
      <c r="I126" s="6" t="str">
        <f ca="1">IFERROR(__xludf.DUMMYFUNCTION("""COMPUTED_VALUE"""),"Investment")</f>
        <v>Investment</v>
      </c>
      <c r="J126" s="7">
        <f ca="1">IFERROR(__xludf.DUMMYFUNCTION("""COMPUTED_VALUE"""),2300000000)</f>
        <v>2300000000</v>
      </c>
      <c r="K126" s="6" t="str">
        <f ca="1">IFERROR(__xludf.DUMMYFUNCTION("""COMPUTED_VALUE"""),"BOL")</f>
        <v>BOL</v>
      </c>
      <c r="L126" s="6" t="str">
        <f ca="1">IFERROR(__xludf.DUMMYFUNCTION("""COMPUTED_VALUE"""),"Bolivia")</f>
        <v>Bolivia</v>
      </c>
      <c r="M126" s="6" t="str">
        <f ca="1">IFERROR(__xludf.DUMMYFUNCTION("""COMPUTED_VALUE"""),"Coipasa salt flats in Oruro, Bolivia and Pastos Grandes salt flats in Potosi, Bolivi")</f>
        <v>Coipasa salt flats in Oruro, Bolivia and Pastos Grandes salt flats in Potosi, Bolivi</v>
      </c>
      <c r="N126" s="6" t="str">
        <f ca="1">IFERROR(__xludf.DUMMYFUNCTION("""COMPUTED_VALUE"""),"Proposed under former President Evo Morales in February 2019, the Chinese company Xinjiang TBEA Group Co Ltd will provide an initial invesment to the YLB (Bolivia's state lithium company). TBEA will hold a 49% stake in the joint venture to produce lithium"&amp;" and other materials from Bolivia's Coipasa and Pastos Grandes salt flats. YLB will pay its share with future lithium production. China is the top global consumer of lithium and will require 800,000 metric tons of it by 2025 in order to support the countr"&amp;"y's booming electric car industry. It is expected that a significant amount of the lithium generated in this mine will be exported to China. The next stage in the joint venture is to conduct feasibility studies. However, the status of the deal is uncertai"&amp;"n as the Morales administration is no longer in power in Bolivia.")</f>
        <v>Proposed under former President Evo Morales in February 2019, the Chinese company Xinjiang TBEA Group Co Ltd will provide an initial invesment to the YLB (Bolivia's state lithium company). TBEA will hold a 49% stake in the joint venture to produce lithium and other materials from Bolivia's Coipasa and Pastos Grandes salt flats. YLB will pay its share with future lithium production. China is the top global consumer of lithium and will require 800,000 metric tons of it by 2025 in order to support the country's booming electric car industry. It is expected that a significant amount of the lithium generated in this mine will be exported to China. The next stage in the joint venture is to conduct feasibility studies. However, the status of the deal is uncertain as the Morales administration is no longer in power in Bolivia.</v>
      </c>
      <c r="O126" s="6" t="str">
        <f ca="1">IFERROR(__xludf.DUMMYFUNCTION("""COMPUTED_VALUE"""),"N/A")</f>
        <v>N/A</v>
      </c>
      <c r="P126" s="6" t="str">
        <f ca="1">IFERROR(__xludf.DUMMYFUNCTION("""COMPUTED_VALUE"""),"N/A")</f>
        <v>N/A</v>
      </c>
      <c r="Q126" s="6" t="str">
        <f ca="1">IFERROR(__xludf.DUMMYFUNCTION("""COMPUTED_VALUE"""),"Proposed - formal")</f>
        <v>Proposed - formal</v>
      </c>
      <c r="R126" s="6" t="str">
        <f ca="1">IFERROR(__xludf.DUMMYFUNCTION("""COMPUTED_VALUE"""),"INDS")</f>
        <v>INDS</v>
      </c>
      <c r="S126" s="9" t="str">
        <f ca="1">IFERROR(__xludf.DUMMYFUNCTION("""COMPUTED_VALUE"""),"https://gist.github.com/Remy2020/8823f7f32ae158fb76261c253cdf6c81")</f>
        <v>https://gist.github.com/Remy2020/8823f7f32ae158fb76261c253cdf6c81</v>
      </c>
      <c r="T126" s="6" t="str">
        <f ca="1">IFERROR(__xludf.DUMMYFUNCTION("""COMPUTED_VALUE"""),"BLOB")</f>
        <v>BLOB</v>
      </c>
      <c r="U126" s="6" t="str">
        <f ca="1">IFERROR(__xludf.DUMMYFUNCTION("""COMPUTED_VALUE"""),"https://www.britannica.com/place/Coipasa-Salt-Flat | then followed google maps")</f>
        <v>https://www.britannica.com/place/Coipasa-Salt-Flat | then followed google maps</v>
      </c>
      <c r="V126" s="6" t="str">
        <f ca="1">IFERROR(__xludf.DUMMYFUNCTION("""COMPUTED_VALUE"""),"Yes (Both)")</f>
        <v>Yes (Both)</v>
      </c>
      <c r="W126" s="6" t="str">
        <f ca="1">IFERROR(__xludf.DUMMYFUNCTION("""COMPUTED_VALUE"""),"Oruro")</f>
        <v>Oruro</v>
      </c>
      <c r="X126" s="6"/>
      <c r="Y126" s="6"/>
      <c r="Z126" s="6"/>
      <c r="AA126" s="6"/>
      <c r="AB126" s="6"/>
      <c r="AC126" s="6"/>
      <c r="AD126" s="6"/>
      <c r="AE126" s="6"/>
      <c r="AF126" s="6"/>
      <c r="AG126" s="6"/>
    </row>
    <row r="127" spans="1:33" ht="66" x14ac:dyDescent="0.25">
      <c r="A127" s="6">
        <f ca="1">IFERROR(__xludf.DUMMYFUNCTION("""COMPUTED_VALUE"""),138)</f>
        <v>138</v>
      </c>
      <c r="B127" s="6">
        <f ca="1">IFERROR(__xludf.DUMMYFUNCTION("""COMPUTED_VALUE"""),3)</f>
        <v>3</v>
      </c>
      <c r="C127" s="6" t="str">
        <f ca="1">IFERROR(__xludf.DUMMYFUNCTION("""COMPUTED_VALUE"""),"El Sillar Road")</f>
        <v>El Sillar Road</v>
      </c>
      <c r="D127" s="6" t="str">
        <f ca="1">IFERROR(__xludf.DUMMYFUNCTION("""COMPUTED_VALUE"""),"CHEXIM")</f>
        <v>CHEXIM</v>
      </c>
      <c r="E127" s="6" t="str">
        <f ca="1">IFERROR(__xludf.DUMMYFUNCTION("""COMPUTED_VALUE"""),"Eximbank of China (85%) and Bolivia's government (15%)")</f>
        <v>Eximbank of China (85%) and Bolivia's government (15%)</v>
      </c>
      <c r="F127" s="6" t="str">
        <f ca="1">IFERROR(__xludf.DUMMYFUNCTION("""COMPUTED_VALUE"""),"Sinohydro Corporation (Chinese state-owned enterprise)")</f>
        <v>Sinohydro Corporation (Chinese state-owned enterprise)</v>
      </c>
      <c r="G127" s="6">
        <f ca="1">IFERROR(__xludf.DUMMYFUNCTION("""COMPUTED_VALUE"""),1.3)</f>
        <v>1.3</v>
      </c>
      <c r="H127" s="6" t="str">
        <f ca="1">IFERROR(__xludf.DUMMYFUNCTION("""COMPUTED_VALUE"""),"Road")</f>
        <v>Road</v>
      </c>
      <c r="I127" s="6" t="str">
        <f ca="1">IFERROR(__xludf.DUMMYFUNCTION("""COMPUTED_VALUE"""),"Contract")</f>
        <v>Contract</v>
      </c>
      <c r="J127" s="7">
        <f ca="1">IFERROR(__xludf.DUMMYFUNCTION("""COMPUTED_VALUE"""),426000000)</f>
        <v>426000000</v>
      </c>
      <c r="K127" s="6" t="str">
        <f ca="1">IFERROR(__xludf.DUMMYFUNCTION("""COMPUTED_VALUE"""),"BOL")</f>
        <v>BOL</v>
      </c>
      <c r="L127" s="6" t="str">
        <f ca="1">IFERROR(__xludf.DUMMYFUNCTION("""COMPUTED_VALUE"""),"Bolivia")</f>
        <v>Bolivia</v>
      </c>
      <c r="M127" s="6" t="str">
        <f ca="1">IFERROR(__xludf.DUMMYFUNCTION("""COMPUTED_VALUE"""),"Connects Santa Cruz with Cochabamba ")</f>
        <v xml:space="preserve">Connects Santa Cruz with Cochabamba </v>
      </c>
      <c r="N127" s="6" t="str">
        <f ca="1">IFERROR(__xludf.DUMMYFUNCTION("""COMPUTED_VALUE"""),"The Chinese state-owned Sinohydro is working on upgrading and improving the El Sillar road. It runs between Cochabamba and Santa Cruz. The highway route will contain two tunnels and four bridges. Upgrading the route will include widening the route to 2 la"&amp;"nes in either direction (instead of having only one lane  in either direction); thus, increasing the road's capacity and safety level. This project is funded by the Export-Import Bank of China, which provides 85% of the funding, and the Bolivian governmen"&amp;"t, which provides 15% of the funding.")</f>
        <v>The Chinese state-owned Sinohydro is working on upgrading and improving the El Sillar road. It runs between Cochabamba and Santa Cruz. The highway route will contain two tunnels and four bridges. Upgrading the route will include widening the route to 2 lanes in either direction (instead of having only one lane  in either direction); thus, increasing the road's capacity and safety level. This project is funded by the Export-Import Bank of China, which provides 85% of the funding, and the Bolivian government, which provides 15% of the funding.</v>
      </c>
      <c r="O127" s="6" t="str">
        <f ca="1">IFERROR(__xludf.DUMMYFUNCTION("""COMPUTED_VALUE"""),"00/00/2018")</f>
        <v>00/00/2018</v>
      </c>
      <c r="P127" s="6" t="str">
        <f ca="1">IFERROR(__xludf.DUMMYFUNCTION("""COMPUTED_VALUE"""),"N/A")</f>
        <v>N/A</v>
      </c>
      <c r="Q127" s="6" t="str">
        <f ca="1">IFERROR(__xludf.DUMMYFUNCTION("""COMPUTED_VALUE"""),"Under construction - unknown")</f>
        <v>Under construction - unknown</v>
      </c>
      <c r="R127" s="6" t="str">
        <f ca="1">IFERROR(__xludf.DUMMYFUNCTION("""COMPUTED_VALUE"""),"RD")</f>
        <v>RD</v>
      </c>
      <c r="S127" s="6" t="str">
        <f ca="1">IFERROR(__xludf.DUMMYFUNCTION("""COMPUTED_VALUE"""),"BOL-ADM1-3_0_0-B3, BOL-ADM1-3_0_0-B8")</f>
        <v>BOL-ADM1-3_0_0-B3, BOL-ADM1-3_0_0-B8</v>
      </c>
      <c r="T127" s="6" t="str">
        <f ca="1">IFERROR(__xludf.DUMMYFUNCTION("""COMPUTED_VALUE"""),"BLOB")</f>
        <v>BLOB</v>
      </c>
      <c r="U127" s="6" t="str">
        <f ca="1">IFERROR(__xludf.DUMMYFUNCTION("""COMPUTED_VALUE"""),"Geocoded up to the provinces of Cochamba Department and Santa Cruz Department")</f>
        <v>Geocoded up to the provinces of Cochamba Department and Santa Cruz Department</v>
      </c>
      <c r="V127" s="6" t="str">
        <f ca="1">IFERROR(__xludf.DUMMYFUNCTION("""COMPUTED_VALUE"""),"Yes (Both)")</f>
        <v>Yes (Both)</v>
      </c>
      <c r="W127" s="6" t="str">
        <f ca="1">IFERROR(__xludf.DUMMYFUNCTION("""COMPUTED_VALUE"""),"Santa Cruz")</f>
        <v>Santa Cruz</v>
      </c>
      <c r="X127" s="6"/>
      <c r="Y127" s="6"/>
      <c r="Z127" s="6"/>
      <c r="AA127" s="6"/>
      <c r="AB127" s="6"/>
      <c r="AC127" s="6"/>
      <c r="AD127" s="6"/>
      <c r="AE127" s="6"/>
      <c r="AF127" s="6"/>
      <c r="AG127" s="6"/>
    </row>
    <row r="128" spans="1:33" ht="158.4" x14ac:dyDescent="0.25">
      <c r="A128" s="6">
        <f ca="1">IFERROR(__xludf.DUMMYFUNCTION("""COMPUTED_VALUE"""),146)</f>
        <v>146</v>
      </c>
      <c r="B128" s="6">
        <f ca="1">IFERROR(__xludf.DUMMYFUNCTION("""COMPUTED_VALUE"""),7)</f>
        <v>7</v>
      </c>
      <c r="C128" s="6" t="str">
        <f ca="1">IFERROR(__xludf.DUMMYFUNCTION("""COMPUTED_VALUE"""),"Rositas Hydroelectric Power Plant")</f>
        <v>Rositas Hydroelectric Power Plant</v>
      </c>
      <c r="D128" s="6" t="str">
        <f ca="1">IFERROR(__xludf.DUMMYFUNCTION("""COMPUTED_VALUE"""),"CHEXIM")</f>
        <v>CHEXIM</v>
      </c>
      <c r="E128" s="6" t="str">
        <f ca="1">IFERROR(__xludf.DUMMYFUNCTION("""COMPUTED_VALUE"""),"China's Eximbank")</f>
        <v>China's Eximbank</v>
      </c>
      <c r="F128" s="6" t="str">
        <f ca="1">IFERROR(__xludf.DUMMYFUNCTION("""COMPUTED_VALUE"""),"China Three Gorges Corporation and its subsidiary China International Water &amp; Electric, and the Bolivian construction company Reedco SRL, state-owned National Electricity Corporation (ENDE)")</f>
        <v>China Three Gorges Corporation and its subsidiary China International Water &amp; Electric, and the Bolivian construction company Reedco SRL, state-owned National Electricity Corporation (ENDE)</v>
      </c>
      <c r="G128" s="6">
        <f ca="1">IFERROR(__xludf.DUMMYFUNCTION("""COMPUTED_VALUE"""),1.3)</f>
        <v>1.3</v>
      </c>
      <c r="H128" s="6" t="str">
        <f ca="1">IFERROR(__xludf.DUMMYFUNCTION("""COMPUTED_VALUE"""),"Energy - sustainable")</f>
        <v>Energy - sustainable</v>
      </c>
      <c r="I128" s="6" t="str">
        <f ca="1">IFERROR(__xludf.DUMMYFUNCTION("""COMPUTED_VALUE"""),"Contract")</f>
        <v>Contract</v>
      </c>
      <c r="J128" s="7" t="str">
        <f ca="1">IFERROR(__xludf.DUMMYFUNCTION("""COMPUTED_VALUE"""),"USD $1,000,000,000-1,500,000,000")</f>
        <v>USD $1,000,000,000-1,500,000,000</v>
      </c>
      <c r="K128" s="6" t="str">
        <f ca="1">IFERROR(__xludf.DUMMYFUNCTION("""COMPUTED_VALUE"""),"BOL")</f>
        <v>BOL</v>
      </c>
      <c r="L128" s="6" t="str">
        <f ca="1">IFERROR(__xludf.DUMMYFUNCTION("""COMPUTED_VALUE"""),"Bolivia")</f>
        <v>Bolivia</v>
      </c>
      <c r="M128" s="6" t="str">
        <f ca="1">IFERROR(__xludf.DUMMYFUNCTION("""COMPUTED_VALUE"""),"On the Grande River in the Santa Cruz department of Bolvia; 140 km from the city of Santa Cruz de la Sierra")</f>
        <v>On the Grande River in the Santa Cruz department of Bolvia; 140 km from the city of Santa Cruz de la Sierra</v>
      </c>
      <c r="N128" s="6" t="str">
        <f ca="1">IFERROR(__xludf.DUMMYFUNCTION("""COMPUTED_VALUE"""),"The Rositas project consists of hydropower plants and seven dams. It will be built in the Rio Grande basin in the Santa Cruz department of Bolivia. As the largest planned dam in the Santa Cruz complex, it has had its financing secured and construction con"&amp;"tracted, but is now pending a possible referendum. Rositas is expected to generate around 600 megawatts (MW) of energy. Rositas was initated as part of former president Evo Morales's 2025 Patriotic Agenda, a plan to transform Bolivia into a regional energ"&amp;"y hub capable of generating over 3000MW of energy and exporting the MW not used to Argentina and Brazil. In 2016, a contract signed by Morales and the future implementers of the project--China Three Gorges Corporation and its subsidiary China Internationa"&amp;"l Water and Electric Corporation, and a Bolivian state-owned company. The project has faced significant backlash due to its potential impact on three protected areas of the Bolivian Amazon and expectated displacement of  hundreds of families in twelve ind"&amp;"igenous communities due to flooding from the dam. Rositas has also faced criticism due to the river's high sediment levels that might make the dam obselete in only a few decades and due to the recreation activities that often occur in the currently free-f"&amp;"lowing river. The contract for the project was awarded in 2016, but was suspended in October 2018. The most recent source states that ENDE intended to start up the project again in 2019,  but there has been no information since.")</f>
        <v>The Rositas project consists of hydropower plants and seven dams. It will be built in the Rio Grande basin in the Santa Cruz department of Bolivia. As the largest planned dam in the Santa Cruz complex, it has had its financing secured and construction contracted, but is now pending a possible referendum. Rositas is expected to generate around 600 megawatts (MW) of energy. Rositas was initated as part of former president Evo Morales's 2025 Patriotic Agenda, a plan to transform Bolivia into a regional energy hub capable of generating over 3000MW of energy and exporting the MW not used to Argentina and Brazil. In 2016, a contract signed by Morales and the future implementers of the project--China Three Gorges Corporation and its subsidiary China International Water and Electric Corporation, and a Bolivian state-owned company. The project has faced significant backlash due to its potential impact on three protected areas of the Bolivian Amazon and expectated displacement of  hundreds of families in twelve indigenous communities due to flooding from the dam. Rositas has also faced criticism due to the river's high sediment levels that might make the dam obselete in only a few decades and due to the recreation activities that often occur in the currently free-flowing river. The contract for the project was awarded in 2016, but was suspended in October 2018. The most recent source states that ENDE intended to start up the project again in 2019,  but there has been no information since.</v>
      </c>
      <c r="O128" s="6" t="str">
        <f ca="1">IFERROR(__xludf.DUMMYFUNCTION("""COMPUTED_VALUE"""),"00/00/2016")</f>
        <v>00/00/2016</v>
      </c>
      <c r="P128" s="6" t="str">
        <f ca="1">IFERROR(__xludf.DUMMYFUNCTION("""COMPUTED_VALUE"""),"N/A")</f>
        <v>N/A</v>
      </c>
      <c r="Q128" s="6" t="str">
        <f ca="1">IFERROR(__xludf.DUMMYFUNCTION("""COMPUTED_VALUE"""),"Under construction - unknown")</f>
        <v>Under construction - unknown</v>
      </c>
      <c r="R128" s="6" t="str">
        <f ca="1">IFERROR(__xludf.DUMMYFUNCTION("""COMPUTED_VALUE"""),"PSH")</f>
        <v>PSH</v>
      </c>
      <c r="S128" s="9" t="str">
        <f ca="1">IFERROR(__xludf.DUMMYFUNCTION("""COMPUTED_VALUE"""),"https://gist.github.com/Remy2020/6a99cfdc42208086d8ddd29329a5c8a5")</f>
        <v>https://gist.github.com/Remy2020/6a99cfdc42208086d8ddd29329a5c8a5</v>
      </c>
      <c r="T128" s="6"/>
      <c r="U128" s="6" t="str">
        <f ca="1">IFERROR(__xludf.DUMMYFUNCTION("""COMPUTED_VALUE"""),"Used images on this website - https://www.ende.bo/proyectos/resena/proyecto--hidroelectrico-rositas - and followed google maps ")</f>
        <v xml:space="preserve">Used images on this website - https://www.ende.bo/proyectos/resena/proyecto--hidroelectrico-rositas - and followed google maps </v>
      </c>
      <c r="V128" s="6" t="str">
        <f ca="1">IFERROR(__xludf.DUMMYFUNCTION("""COMPUTED_VALUE"""),"Yes (Both)")</f>
        <v>Yes (Both)</v>
      </c>
      <c r="W128" s="6" t="str">
        <f ca="1">IFERROR(__xludf.DUMMYFUNCTION("""COMPUTED_VALUE"""),"Santa Cruz")</f>
        <v>Santa Cruz</v>
      </c>
      <c r="X128" s="6" t="str">
        <f ca="1">IFERROR(__xludf.DUMMYFUNCTION("""COMPUTED_VALUE"""),"04/22/2013 | 06/12/2019 | 12/20/2019")</f>
        <v>04/22/2013 | 06/12/2019 | 12/20/2019</v>
      </c>
      <c r="Y128" s="6" t="str">
        <f ca="1">IFERROR(__xludf.DUMMYFUNCTION("""COMPUTED_VALUE"""),"No change")</f>
        <v>No change</v>
      </c>
      <c r="Z128" s="6" t="str">
        <f ca="1">IFERROR(__xludf.DUMMYFUNCTION("""COMPUTED_VALUE"""),"LAT: -18.924960, LON: -63.532189")</f>
        <v>LAT: -18.924960, LON: -63.532189</v>
      </c>
      <c r="AA128" s="6"/>
      <c r="AB128" s="6"/>
      <c r="AC128" s="6"/>
      <c r="AD128" s="6"/>
      <c r="AE128" s="6"/>
      <c r="AF128" s="6"/>
      <c r="AG128" s="6"/>
    </row>
    <row r="129" spans="1:33" ht="66" x14ac:dyDescent="0.25">
      <c r="A129" s="6">
        <f ca="1">IFERROR(__xludf.DUMMYFUNCTION("""COMPUTED_VALUE"""),147)</f>
        <v>147</v>
      </c>
      <c r="B129" s="6">
        <f ca="1">IFERROR(__xludf.DUMMYFUNCTION("""COMPUTED_VALUE"""),5)</f>
        <v>5</v>
      </c>
      <c r="C129" s="6" t="str">
        <f ca="1">IFERROR(__xludf.DUMMYFUNCTION("""COMPUTED_VALUE"""),"San Jose I Hydroelectric Power Plant")</f>
        <v>San Jose I Hydroelectric Power Plant</v>
      </c>
      <c r="D129" s="6" t="str">
        <f ca="1">IFERROR(__xludf.DUMMYFUNCTION("""COMPUTED_VALUE"""),"Other Chinese Institution")</f>
        <v>Other Chinese Institution</v>
      </c>
      <c r="E129" s="6" t="str">
        <f ca="1">IFERROR(__xludf.DUMMYFUNCTION("""COMPUTED_VALUE"""),"PRC")</f>
        <v>PRC</v>
      </c>
      <c r="F129" s="6" t="str">
        <f ca="1">IFERROR(__xludf.DUMMYFUNCTION("""COMPUTED_VALUE"""),"Chinese state-owned Sinohydro and Bolivian state-owned electric utilitary ENDE")</f>
        <v>Chinese state-owned Sinohydro and Bolivian state-owned electric utilitary ENDE</v>
      </c>
      <c r="G129" s="6">
        <f ca="1">IFERROR(__xludf.DUMMYFUNCTION("""COMPUTED_VALUE"""),1.3)</f>
        <v>1.3</v>
      </c>
      <c r="H129" s="6" t="str">
        <f ca="1">IFERROR(__xludf.DUMMYFUNCTION("""COMPUTED_VALUE"""),"Energy - sustainable")</f>
        <v>Energy - sustainable</v>
      </c>
      <c r="I129" s="6" t="str">
        <f ca="1">IFERROR(__xludf.DUMMYFUNCTION("""COMPUTED_VALUE"""),"Contract")</f>
        <v>Contract</v>
      </c>
      <c r="J129" s="7" t="str">
        <f ca="1">IFERROR(__xludf.DUMMYFUNCTION("""COMPUTED_VALUE"""),"USD $140,000,000")</f>
        <v>USD $140,000,000</v>
      </c>
      <c r="K129" s="6" t="str">
        <f ca="1">IFERROR(__xludf.DUMMYFUNCTION("""COMPUTED_VALUE"""),"BOL")</f>
        <v>BOL</v>
      </c>
      <c r="L129" s="6" t="str">
        <f ca="1">IFERROR(__xludf.DUMMYFUNCTION("""COMPUTED_VALUE"""),"Bolivia")</f>
        <v>Bolivia</v>
      </c>
      <c r="M129" s="6" t="str">
        <f ca="1">IFERROR(__xludf.DUMMYFUNCTION("""COMPUTED_VALUE"""),"The eastern slopes of the Andes in the the municipality of Colomi, department of Cochabamba")</f>
        <v>The eastern slopes of the Andes in the the municipality of Colomi, department of Cochabamba</v>
      </c>
      <c r="N129" s="6" t="str">
        <f ca="1">IFERROR(__xludf.DUMMYFUNCTION("""COMPUTED_VALUE"""),"The San Jose 1 hydroelectric power plant is the first part of a two-powerhouse complex. It was primarily financed by China in order to help Bolivia achieve its goals of becoming South America's electricity hub. It was connected to Bolivia's nation grid in"&amp;" January 2018 and added 55MW to the nation's energy output. The plant consists of two Pelton turbines, a 313 meter head, and a tunnel length of 9,130 meters.Water from the Aguas Caras resevoir is conveyed to the surge shaft and then brought to penstocks t"&amp;"o the first power plant.  The San Jose I discharges into Miguelito, a small resevoir for storage.")</f>
        <v>The San Jose 1 hydroelectric power plant is the first part of a two-powerhouse complex. It was primarily financed by China in order to help Bolivia achieve its goals of becoming South America's electricity hub. It was connected to Bolivia's nation grid in January 2018 and added 55MW to the nation's energy output. The plant consists of two Pelton turbines, a 313 meter head, and a tunnel length of 9,130 meters.Water from the Aguas Caras resevoir is conveyed to the surge shaft and then brought to penstocks to the first power plant.  The San Jose I discharges into Miguelito, a small resevoir for storage.</v>
      </c>
      <c r="O129" s="6" t="str">
        <f ca="1">IFERROR(__xludf.DUMMYFUNCTION("""COMPUTED_VALUE"""),"00/00/2014")</f>
        <v>00/00/2014</v>
      </c>
      <c r="P129" s="6" t="str">
        <f ca="1">IFERROR(__xludf.DUMMYFUNCTION("""COMPUTED_VALUE"""),"01/00/2018")</f>
        <v>01/00/2018</v>
      </c>
      <c r="Q129" s="6" t="str">
        <f ca="1">IFERROR(__xludf.DUMMYFUNCTION("""COMPUTED_VALUE"""),"Completed")</f>
        <v>Completed</v>
      </c>
      <c r="R129" s="6" t="str">
        <f ca="1">IFERROR(__xludf.DUMMYFUNCTION("""COMPUTED_VALUE"""),"DAM")</f>
        <v>DAM</v>
      </c>
      <c r="S129" s="9" t="str">
        <f ca="1">IFERROR(__xludf.DUMMYFUNCTION("""COMPUTED_VALUE"""),"https://gist.github.com/Remy2020/c02ce642b68de210631eb3b2db9cf0fa")</f>
        <v>https://gist.github.com/Remy2020/c02ce642b68de210631eb3b2db9cf0fa</v>
      </c>
      <c r="T129" s="6" t="str">
        <f ca="1">IFERROR(__xludf.DUMMYFUNCTION("""COMPUTED_VALUE"""),"DAM")</f>
        <v>DAM</v>
      </c>
      <c r="U129" s="6" t="str">
        <f ca="1">IFERROR(__xludf.DUMMYFUNCTION("""COMPUTED_VALUE"""),"used google earth images to geocode,")</f>
        <v>used google earth images to geocode,</v>
      </c>
      <c r="V129" s="6" t="str">
        <f ca="1">IFERROR(__xludf.DUMMYFUNCTION("""COMPUTED_VALUE"""),"Yes (Both)")</f>
        <v>Yes (Both)</v>
      </c>
      <c r="W129" s="6" t="str">
        <f ca="1">IFERROR(__xludf.DUMMYFUNCTION("""COMPUTED_VALUE"""),"Cochabamba")</f>
        <v>Cochabamba</v>
      </c>
      <c r="X129" s="6" t="str">
        <f ca="1">IFERROR(__xludf.DUMMYFUNCTION("""COMPUTED_VALUE"""),"08/28/2019 | 08/29/2018")</f>
        <v>08/28/2019 | 08/29/2018</v>
      </c>
      <c r="Y129" s="6" t="str">
        <f ca="1">IFERROR(__xludf.DUMMYFUNCTION("""COMPUTED_VALUE"""),"No change")</f>
        <v>No change</v>
      </c>
      <c r="Z129" s="6" t="str">
        <f ca="1">IFERROR(__xludf.DUMMYFUNCTION("""COMPUTED_VALUE"""),"LAT: -17.168255 LON: -65.787540")</f>
        <v>LAT: -17.168255 LON: -65.787540</v>
      </c>
      <c r="AA129" s="6"/>
      <c r="AB129" s="6"/>
      <c r="AC129" s="6"/>
      <c r="AD129" s="6"/>
      <c r="AE129" s="6"/>
      <c r="AF129" s="6"/>
      <c r="AG129" s="6"/>
    </row>
    <row r="130" spans="1:33" ht="66" x14ac:dyDescent="0.25">
      <c r="A130" s="6">
        <f ca="1">IFERROR(__xludf.DUMMYFUNCTION("""COMPUTED_VALUE"""),148)</f>
        <v>148</v>
      </c>
      <c r="B130" s="6">
        <f ca="1">IFERROR(__xludf.DUMMYFUNCTION("""COMPUTED_VALUE"""),5)</f>
        <v>5</v>
      </c>
      <c r="C130" s="6" t="str">
        <f ca="1">IFERROR(__xludf.DUMMYFUNCTION("""COMPUTED_VALUE"""),"San Jose II Hydroelectric Power Plant")</f>
        <v>San Jose II Hydroelectric Power Plant</v>
      </c>
      <c r="D130" s="6" t="str">
        <f ca="1">IFERROR(__xludf.DUMMYFUNCTION("""COMPUTED_VALUE"""),"Other Chinese Institution")</f>
        <v>Other Chinese Institution</v>
      </c>
      <c r="E130" s="6" t="str">
        <f ca="1">IFERROR(__xludf.DUMMYFUNCTION("""COMPUTED_VALUE"""),"PRC")</f>
        <v>PRC</v>
      </c>
      <c r="F130" s="6" t="str">
        <f ca="1">IFERROR(__xludf.DUMMYFUNCTION("""COMPUTED_VALUE"""),"Chinese company Sinohydro and Bolivian state-owned electric utilitary ENDE")</f>
        <v>Chinese company Sinohydro and Bolivian state-owned electric utilitary ENDE</v>
      </c>
      <c r="G130" s="6">
        <f ca="1">IFERROR(__xludf.DUMMYFUNCTION("""COMPUTED_VALUE"""),1.3)</f>
        <v>1.3</v>
      </c>
      <c r="H130" s="6" t="str">
        <f ca="1">IFERROR(__xludf.DUMMYFUNCTION("""COMPUTED_VALUE"""),"Energy - sustainable")</f>
        <v>Energy - sustainable</v>
      </c>
      <c r="I130" s="6" t="str">
        <f ca="1">IFERROR(__xludf.DUMMYFUNCTION("""COMPUTED_VALUE"""),"Contract")</f>
        <v>Contract</v>
      </c>
      <c r="J130" s="7" t="str">
        <f ca="1">IFERROR(__xludf.DUMMYFUNCTION("""COMPUTED_VALUE"""),"$149,000,000 USD")</f>
        <v>$149,000,000 USD</v>
      </c>
      <c r="K130" s="6" t="str">
        <f ca="1">IFERROR(__xludf.DUMMYFUNCTION("""COMPUTED_VALUE"""),"BOL")</f>
        <v>BOL</v>
      </c>
      <c r="L130" s="6" t="str">
        <f ca="1">IFERROR(__xludf.DUMMYFUNCTION("""COMPUTED_VALUE"""),"Bolivia")</f>
        <v>Bolivia</v>
      </c>
      <c r="M130" s="6" t="str">
        <f ca="1">IFERROR(__xludf.DUMMYFUNCTION("""COMPUTED_VALUE"""),"The eastern slopes of the Andes in the the municipality of Colomi, department of Cochabamba")</f>
        <v>The eastern slopes of the Andes in the the municipality of Colomi, department of Cochabamba</v>
      </c>
      <c r="N130" s="6" t="str">
        <f ca="1">IFERROR(__xludf.DUMMYFUNCTION("""COMPUTED_VALUE"""),"The San Jose 2 hydropower plant is the second part of a two-powerhouse complex that started operation in June 2019. It is connected to Bolivia's national grid and added 69MW to the nation's energy output. The plant consists of two Pelton turbines, a 369 m"&amp;"eter head, and a tunnel length of 6,692 meters.")</f>
        <v>The San Jose 2 hydropower plant is the second part of a two-powerhouse complex that started operation in June 2019. It is connected to Bolivia's national grid and added 69MW to the nation's energy output. The plant consists of two Pelton turbines, a 369 meter head, and a tunnel length of 6,692 meters.</v>
      </c>
      <c r="O130" s="6" t="str">
        <f ca="1">IFERROR(__xludf.DUMMYFUNCTION("""COMPUTED_VALUE"""),"00/00/2014")</f>
        <v>00/00/2014</v>
      </c>
      <c r="P130" s="6" t="str">
        <f ca="1">IFERROR(__xludf.DUMMYFUNCTION("""COMPUTED_VALUE"""),"06/00/2019")</f>
        <v>06/00/2019</v>
      </c>
      <c r="Q130" s="6" t="str">
        <f ca="1">IFERROR(__xludf.DUMMYFUNCTION("""COMPUTED_VALUE"""),"Completed")</f>
        <v>Completed</v>
      </c>
      <c r="R130" s="6" t="str">
        <f ca="1">IFERROR(__xludf.DUMMYFUNCTION("""COMPUTED_VALUE"""),"DAM")</f>
        <v>DAM</v>
      </c>
      <c r="S130" s="9" t="str">
        <f ca="1">IFERROR(__xludf.DUMMYFUNCTION("""COMPUTED_VALUE"""),"https://gist.github.com/ysun15/7a6a4d6bd8b22fef70a2d35012b72143")</f>
        <v>https://gist.github.com/ysun15/7a6a4d6bd8b22fef70a2d35012b72143</v>
      </c>
      <c r="T130" s="6" t="str">
        <f ca="1">IFERROR(__xludf.DUMMYFUNCTION("""COMPUTED_VALUE"""),"DAM")</f>
        <v>DAM</v>
      </c>
      <c r="U130" s="6" t="str">
        <f ca="1">IFERROR(__xludf.DUMMYFUNCTION("""COMPUTED_VALUE"""),"use google earth image to geocode
The lower part is a water shaft coonected to the main construction site by penstock")</f>
        <v>use google earth image to geocode
The lower part is a water shaft coonected to the main construction site by penstock</v>
      </c>
      <c r="V130" s="6" t="str">
        <f ca="1">IFERROR(__xludf.DUMMYFUNCTION("""COMPUTED_VALUE"""),"Yes (Both)")</f>
        <v>Yes (Both)</v>
      </c>
      <c r="W130" s="6" t="str">
        <f ca="1">IFERROR(__xludf.DUMMYFUNCTION("""COMPUTED_VALUE"""),"Cochabamba")</f>
        <v>Cochabamba</v>
      </c>
      <c r="X130" s="6" t="str">
        <f ca="1">IFERROR(__xludf.DUMMYFUNCTION("""COMPUTED_VALUE"""),"08/28/2019 | 08/29/2018")</f>
        <v>08/28/2019 | 08/29/2018</v>
      </c>
      <c r="Y130" s="6" t="str">
        <f ca="1">IFERROR(__xludf.DUMMYFUNCTION("""COMPUTED_VALUE"""),"No change")</f>
        <v>No change</v>
      </c>
      <c r="Z130" s="6" t="str">
        <f ca="1">IFERROR(__xludf.DUMMYFUNCTION("""COMPUTED_VALUE"""),"LAT: -17.101677 LON: -65.784530")</f>
        <v>LAT: -17.101677 LON: -65.784530</v>
      </c>
      <c r="AA130" s="6"/>
      <c r="AB130" s="6"/>
      <c r="AC130" s="6"/>
      <c r="AD130" s="6"/>
      <c r="AE130" s="6"/>
      <c r="AF130" s="6"/>
      <c r="AG130" s="6"/>
    </row>
    <row r="131" spans="1:33" ht="118.8" x14ac:dyDescent="0.25">
      <c r="A131" s="6">
        <f ca="1">IFERROR(__xludf.DUMMYFUNCTION("""COMPUTED_VALUE"""),149)</f>
        <v>149</v>
      </c>
      <c r="B131" s="6">
        <f ca="1">IFERROR(__xludf.DUMMYFUNCTION("""COMPUTED_VALUE"""),3)</f>
        <v>3</v>
      </c>
      <c r="C131" s="6" t="str">
        <f ca="1">IFERROR(__xludf.DUMMYFUNCTION("""COMPUTED_VALUE"""),"Ivirizu Hydroelectric Dam and Power Plant Complex")</f>
        <v>Ivirizu Hydroelectric Dam and Power Plant Complex</v>
      </c>
      <c r="D131" s="6" t="str">
        <f ca="1">IFERROR(__xludf.DUMMYFUNCTION("""COMPUTED_VALUE"""),"Other Institution")</f>
        <v>Other Institution</v>
      </c>
      <c r="E131" s="6" t="str">
        <f ca="1">IFERROR(__xludf.DUMMYFUNCTION("""COMPUTED_VALUE"""),"Vague")</f>
        <v>Vague</v>
      </c>
      <c r="F131" s="6" t="str">
        <f ca="1">IFERROR(__xludf.DUMMYFUNCTION("""COMPUTED_VALUE"""),"Chinese company Sinohydro and Bolivian firm ENDE's subsidiary, Electrica Valle Hermoso. ")</f>
        <v xml:space="preserve">Chinese company Sinohydro and Bolivian firm ENDE's subsidiary, Electrica Valle Hermoso. </v>
      </c>
      <c r="G131" s="6">
        <f ca="1">IFERROR(__xludf.DUMMYFUNCTION("""COMPUTED_VALUE"""),1.3)</f>
        <v>1.3</v>
      </c>
      <c r="H131" s="6" t="str">
        <f ca="1">IFERROR(__xludf.DUMMYFUNCTION("""COMPUTED_VALUE"""),"Energy - sustainable")</f>
        <v>Energy - sustainable</v>
      </c>
      <c r="I131" s="6" t="str">
        <f ca="1">IFERROR(__xludf.DUMMYFUNCTION("""COMPUTED_VALUE"""),"Investment")</f>
        <v>Investment</v>
      </c>
      <c r="J131" s="7" t="str">
        <f ca="1">IFERROR(__xludf.DUMMYFUNCTION("""COMPUTED_VALUE"""),"$520,000,000-$550,000,000 USD")</f>
        <v>$520,000,000-$550,000,000 USD</v>
      </c>
      <c r="K131" s="6" t="str">
        <f ca="1">IFERROR(__xludf.DUMMYFUNCTION("""COMPUTED_VALUE"""),"BOL")</f>
        <v>BOL</v>
      </c>
      <c r="L131" s="6" t="str">
        <f ca="1">IFERROR(__xludf.DUMMYFUNCTION("""COMPUTED_VALUE"""),"Bolivia")</f>
        <v>Bolivia</v>
      </c>
      <c r="M131" s="6" t="str">
        <f ca="1">IFERROR(__xludf.DUMMYFUNCTION("""COMPUTED_VALUE"""),"Iviziru River, Carrasco National Park, Bolivia. Municipality of Pocona.")</f>
        <v>Iviziru River, Carrasco National Park, Bolivia. Municipality of Pocona.</v>
      </c>
      <c r="N131" s="6" t="str">
        <f ca="1">IFERROR(__xludf.DUMMYFUNCTION("""COMPUTED_VALUE"""),"Chinese company Sinohydro won a contract to construct the Ivirizu hydroelectric dam on the Iviziru river. The dam is also being developed by Empresa Nacional de Electricidad S.A. (ENDE) subsidiary Electrica Valle Hermosa, who expects the project to be on "&amp;"line in 2021. The project has an investment of over $520 million USD and the construction alone has a budget of $190 million USD. The plant will provide about 280MW of power for Bolivia, whose government stated that it was making the project's completion "&amp;"a priority in June 2016. The dam will have two hydroelectric power plants: Sehuencas (188.62MW) and Pelton (64MW). It is part of Bolivia's push to grow its domestic hydropower and hydropower exports under former president Evo Morales. It is also of note t"&amp;"hat experts have asserted a potential negative consequence of the damn would be decreasing biodiversity around the area. The surrounding environment of the damn includes fragile and diverse fauna, which has the potential to decrease with construction in t"&amp;"he area.")</f>
        <v>Chinese company Sinohydro won a contract to construct the Ivirizu hydroelectric dam on the Iviziru river. The dam is also being developed by Empresa Nacional de Electricidad S.A. (ENDE) subsidiary Electrica Valle Hermosa, who expects the project to be on line in 2021. The project has an investment of over $520 million USD and the construction alone has a budget of $190 million USD. The plant will provide about 280MW of power for Bolivia, whose government stated that it was making the project's completion a priority in June 2016. The dam will have two hydroelectric power plants: Sehuencas (188.62MW) and Pelton (64MW). It is part of Bolivia's push to grow its domestic hydropower and hydropower exports under former president Evo Morales. It is also of note that experts have asserted a potential negative consequence of the damn would be decreasing biodiversity around the area. The surrounding environment of the damn includes fragile and diverse fauna, which has the potential to decrease with construction in the area.</v>
      </c>
      <c r="O131" s="12">
        <f ca="1">IFERROR(__xludf.DUMMYFUNCTION("""COMPUTED_VALUE"""),42989)</f>
        <v>42989</v>
      </c>
      <c r="P131" s="6" t="str">
        <f ca="1">IFERROR(__xludf.DUMMYFUNCTION("""COMPUTED_VALUE"""),"N/A")</f>
        <v>N/A</v>
      </c>
      <c r="Q131" s="6" t="str">
        <f ca="1">IFERROR(__xludf.DUMMYFUNCTION("""COMPUTED_VALUE"""),"Under construction - unknown")</f>
        <v>Under construction - unknown</v>
      </c>
      <c r="R131" s="6" t="str">
        <f ca="1">IFERROR(__xludf.DUMMYFUNCTION("""COMPUTED_VALUE"""),"DAM")</f>
        <v>DAM</v>
      </c>
      <c r="S131" s="9" t="str">
        <f ca="1">IFERROR(__xludf.DUMMYFUNCTION("""COMPUTED_VALUE"""),"https://gist.github.com/Remy2020/5fa7bf456a21542feaaa341f959acb77")</f>
        <v>https://gist.github.com/Remy2020/5fa7bf456a21542feaaa341f959acb77</v>
      </c>
      <c r="T131" s="6" t="str">
        <f ca="1">IFERROR(__xludf.DUMMYFUNCTION("""COMPUTED_VALUE"""),"BLOB")</f>
        <v>BLOB</v>
      </c>
      <c r="U131" s="6" t="str">
        <f ca="1">IFERROR(__xludf.DUMMYFUNCTION("""COMPUTED_VALUE"""),"DG imagery, followed google maps, https://www.youtube.com/watch?v=trC-W6h8Sbo ")</f>
        <v xml:space="preserve">DG imagery, followed google maps, https://www.youtube.com/watch?v=trC-W6h8Sbo </v>
      </c>
      <c r="V131" s="6" t="str">
        <f ca="1">IFERROR(__xludf.DUMMYFUNCTION("""COMPUTED_VALUE"""),"Yes (Both)")</f>
        <v>Yes (Both)</v>
      </c>
      <c r="W131" s="6" t="str">
        <f ca="1">IFERROR(__xludf.DUMMYFUNCTION("""COMPUTED_VALUE"""),"Cochabamba")</f>
        <v>Cochabamba</v>
      </c>
      <c r="X131" s="12">
        <f ca="1">IFERROR(__xludf.DUMMYFUNCTION("""COMPUTED_VALUE"""),43645)</f>
        <v>43645</v>
      </c>
      <c r="Y131" s="6" t="str">
        <f ca="1">IFERROR(__xludf.DUMMYFUNCTION("""COMPUTED_VALUE"""),"No change")</f>
        <v>No change</v>
      </c>
      <c r="Z131" s="6" t="str">
        <f ca="1">IFERROR(__xludf.DUMMYFUNCTION("""COMPUTED_VALUE"""),"LAT: -17.485996 LON: -65.277280")</f>
        <v>LAT: -17.485996 LON: -65.277280</v>
      </c>
      <c r="AA131" s="6"/>
      <c r="AB131" s="6"/>
      <c r="AC131" s="6"/>
      <c r="AD131" s="6"/>
      <c r="AE131" s="6"/>
      <c r="AF131" s="6"/>
      <c r="AG131" s="6"/>
    </row>
    <row r="132" spans="1:33" ht="92.4" x14ac:dyDescent="0.25">
      <c r="A132" s="6">
        <f ca="1">IFERROR(__xludf.DUMMYFUNCTION("""COMPUTED_VALUE"""),150)</f>
        <v>150</v>
      </c>
      <c r="B132" s="6">
        <f ca="1">IFERROR(__xludf.DUMMYFUNCTION("""COMPUTED_VALUE"""),3)</f>
        <v>3</v>
      </c>
      <c r="C132" s="6" t="str">
        <f ca="1">IFERROR(__xludf.DUMMYFUNCTION("""COMPUTED_VALUE"""),"Sandia Hydropower Plant")</f>
        <v>Sandia Hydropower Plant</v>
      </c>
      <c r="D132" s="6" t="str">
        <f ca="1">IFERROR(__xludf.DUMMYFUNCTION("""COMPUTED_VALUE"""),"Other Institution")</f>
        <v>Other Institution</v>
      </c>
      <c r="E132" s="6" t="str">
        <f ca="1">IFERROR(__xludf.DUMMYFUNCTION("""COMPUTED_VALUE"""),"Vague")</f>
        <v>Vague</v>
      </c>
      <c r="F132" s="6" t="str">
        <f ca="1">IFERROR(__xludf.DUMMYFUNCTION("""COMPUTED_VALUE"""),"Hangzhou Yatai Hydro Equipment Completing Co., Ltd.")</f>
        <v>Hangzhou Yatai Hydro Equipment Completing Co., Ltd.</v>
      </c>
      <c r="G132" s="6">
        <f ca="1">IFERROR(__xludf.DUMMYFUNCTION("""COMPUTED_VALUE"""),9)</f>
        <v>9</v>
      </c>
      <c r="H132" s="6" t="str">
        <f ca="1">IFERROR(__xludf.DUMMYFUNCTION("""COMPUTED_VALUE"""),"Energy - sustainable")</f>
        <v>Energy - sustainable</v>
      </c>
      <c r="I132" s="6" t="str">
        <f ca="1">IFERROR(__xludf.DUMMYFUNCTION("""COMPUTED_VALUE"""),"Contract")</f>
        <v>Contract</v>
      </c>
      <c r="J132" s="6" t="str">
        <f ca="1">IFERROR(__xludf.DUMMYFUNCTION("""COMPUTED_VALUE"""),"N/A")</f>
        <v>N/A</v>
      </c>
      <c r="K132" s="6" t="str">
        <f ca="1">IFERROR(__xludf.DUMMYFUNCTION("""COMPUTED_VALUE"""),"PER")</f>
        <v>PER</v>
      </c>
      <c r="L132" s="6" t="str">
        <f ca="1">IFERROR(__xludf.DUMMYFUNCTION("""COMPUTED_VALUE"""),"Peru")</f>
        <v>Peru</v>
      </c>
      <c r="M132" s="6" t="str">
        <f ca="1">IFERROR(__xludf.DUMMYFUNCTION("""COMPUTED_VALUE"""),"Sandia town, Puno Province, Peru")</f>
        <v>Sandia town, Puno Province, Peru</v>
      </c>
      <c r="N132" s="6" t="str">
        <f ca="1">IFERROR(__xludf.DUMMYFUNCTION("""COMPUTED_VALUE"""),"On July 26, 2007, Hangzhou Yatai Hydro Equipment Completing Co., Ltd. signed the complete electro-mechanical equipment supply contract, providing turbine, generator, heavy-duty hammer butterfly valve, inlet valve, governor, excitation system, SCADA system"&amp;", the oil, air and water piping. On-site installation started on June 30, 2009. The station was put into operation on November 5, 2009. The project has capacity of 1200kW. It has three units, 1# and 2# units of British-made Pelton hydroelectric sets, and "&amp;"3# that was provided by Hangzhou Yatai.")</f>
        <v>On July 26, 2007, Hangzhou Yatai Hydro Equipment Completing Co., Ltd. signed the complete electro-mechanical equipment supply contract, providing turbine, generator, heavy-duty hammer butterfly valve, inlet valve, governor, excitation system, SCADA system, the oil, air and water piping. On-site installation started on June 30, 2009. The station was put into operation on November 5, 2009. The project has capacity of 1200kW. It has three units, 1# and 2# units of British-made Pelton hydroelectric sets, and 3# that was provided by Hangzhou Yatai.</v>
      </c>
      <c r="O132" s="12">
        <f ca="1">IFERROR(__xludf.DUMMYFUNCTION("""COMPUTED_VALUE"""),39289)</f>
        <v>39289</v>
      </c>
      <c r="P132" s="12">
        <f ca="1">IFERROR(__xludf.DUMMYFUNCTION("""COMPUTED_VALUE"""),40122)</f>
        <v>40122</v>
      </c>
      <c r="Q132" s="6" t="str">
        <f ca="1">IFERROR(__xludf.DUMMYFUNCTION("""COMPUTED_VALUE"""),"Completed")</f>
        <v>Completed</v>
      </c>
      <c r="R132" s="6" t="str">
        <f ca="1">IFERROR(__xludf.DUMMYFUNCTION("""COMPUTED_VALUE"""),"DAM")</f>
        <v>DAM</v>
      </c>
      <c r="S132" s="6" t="str">
        <f ca="1">IFERROR(__xludf.DUMMYFUNCTION("""COMPUTED_VALUE"""),"PER-ADM1-3_0_0-B7")</f>
        <v>PER-ADM1-3_0_0-B7</v>
      </c>
      <c r="T132" s="6" t="str">
        <f ca="1">IFERROR(__xludf.DUMMYFUNCTION("""COMPUTED_VALUE"""),"ADM1")</f>
        <v>ADM1</v>
      </c>
      <c r="U132" s="6" t="str">
        <f ca="1">IFERROR(__xludf.DUMMYFUNCTION("""COMPUTED_VALUE"""),"According to http://www.hrcshp.org/en/image/PDF/2009Yatai.pdf , the project is located 15km to Sandia
downtown. It is small run-of-the-river type with water head of 220m. 
http://www.hrcshp.com/English/caseshow_8.html ")</f>
        <v xml:space="preserve">According to http://www.hrcshp.org/en/image/PDF/2009Yatai.pdf , the project is located 15km to Sandia
downtown. It is small run-of-the-river type with water head of 220m. 
http://www.hrcshp.com/English/caseshow_8.html </v>
      </c>
      <c r="V132" s="6"/>
      <c r="W132" s="6" t="str">
        <f ca="1">IFERROR(__xludf.DUMMYFUNCTION("""COMPUTED_VALUE"""),"Puno")</f>
        <v>Puno</v>
      </c>
      <c r="X132" s="6"/>
      <c r="Y132" s="6"/>
      <c r="Z132" s="6"/>
      <c r="AA132" s="6"/>
      <c r="AB132" s="6"/>
      <c r="AC132" s="6"/>
      <c r="AD132" s="6"/>
      <c r="AE132" s="6"/>
      <c r="AF132" s="6"/>
      <c r="AG132" s="6"/>
    </row>
    <row r="133" spans="1:33" ht="211.2" x14ac:dyDescent="0.25">
      <c r="A133" s="6">
        <f ca="1">IFERROR(__xludf.DUMMYFUNCTION("""COMPUTED_VALUE"""),153)</f>
        <v>153</v>
      </c>
      <c r="B133" s="6">
        <f ca="1">IFERROR(__xludf.DUMMYFUNCTION("""COMPUTED_VALUE"""),5)</f>
        <v>5</v>
      </c>
      <c r="C133" s="6" t="str">
        <f ca="1">IFERROR(__xludf.DUMMYFUNCTION("""COMPUTED_VALUE"""),"Chepete Hydroelectric Power Plant")</f>
        <v>Chepete Hydroelectric Power Plant</v>
      </c>
      <c r="D133" s="6" t="str">
        <f ca="1">IFERROR(__xludf.DUMMYFUNCTION("""COMPUTED_VALUE"""),"Other Institution")</f>
        <v>Other Institution</v>
      </c>
      <c r="E133" s="6" t="str">
        <f ca="1">IFERROR(__xludf.DUMMYFUNCTION("""COMPUTED_VALUE"""),"Vague")</f>
        <v>Vague</v>
      </c>
      <c r="F133" s="6" t="str">
        <f ca="1">IFERROR(__xludf.DUMMYFUNCTION("""COMPUTED_VALUE"""),"Vague")</f>
        <v>Vague</v>
      </c>
      <c r="G133" s="6">
        <f ca="1">IFERROR(__xludf.DUMMYFUNCTION("""COMPUTED_VALUE"""),5)</f>
        <v>5</v>
      </c>
      <c r="H133" s="6" t="str">
        <f ca="1">IFERROR(__xludf.DUMMYFUNCTION("""COMPUTED_VALUE"""),"Energy - sustainable")</f>
        <v>Energy - sustainable</v>
      </c>
      <c r="I133" s="6" t="str">
        <f ca="1">IFERROR(__xludf.DUMMYFUNCTION("""COMPUTED_VALUE"""),"Vague")</f>
        <v>Vague</v>
      </c>
      <c r="J133" s="6" t="str">
        <f ca="1">IFERROR(__xludf.DUMMYFUNCTION("""COMPUTED_VALUE"""),"N/A")</f>
        <v>N/A</v>
      </c>
      <c r="K133" s="6" t="str">
        <f ca="1">IFERROR(__xludf.DUMMYFUNCTION("""COMPUTED_VALUE"""),"BOL")</f>
        <v>BOL</v>
      </c>
      <c r="L133" s="6" t="str">
        <f ca="1">IFERROR(__xludf.DUMMYFUNCTION("""COMPUTED_VALUE"""),"Bolivia")</f>
        <v>Bolivia</v>
      </c>
      <c r="M133" s="6" t="str">
        <f ca="1">IFERROR(__xludf.DUMMYFUNCTION("""COMPUTED_VALUE"""),"Chepete: el Beu Canyon. The entire megadam project: Two dams north of the capital city of La Paz on the Beni river. In the Amazon between Madidi National Park and the Pilon Lajas Biosphere Reserve in Boliiva.")</f>
        <v>Chepete: el Beu Canyon. The entire megadam project: Two dams north of the capital city of La Paz on the Beni river. In the Amazon between Madidi National Park and the Pilon Lajas Biosphere Reserve in Boliiva.</v>
      </c>
      <c r="N133" s="6" t="str">
        <f ca="1">IFERROR(__xludf.DUMMYFUNCTION("""COMPUTED_VALUE"""),"This project includes the construction of the Chepete hydroelectric power plant on the Beni River in the Amazon region of Bolivia. It is proposed to be completed over the next 10-15 years and is expected to have a capacity to generate around 2000MW of hyd"&amp;"ropower electricity. The project was given national priority in 2007 and was expected to begin construction in 2019. However, the current construction status is unknown due to a series of setbacks and controversies. The project, which includes both the Ch"&amp;"epete dam and the El Bala dam,  has had major backlash over the location of the projects, and the impact on the communities and environment around them. Around 4,000 inhabitants of indigenous Amazonian communities will need to be displaced from the land. "&amp;"The affected zone for the dam includes portions of the Pilón Largas and Madidi National Parks, which are some of the world's most biodiverse regions and house thousands of rare animal and plant species. Opponents of the project argue that the dams would d"&amp;"isrupt the biodiversity and release enormous amounts of greenhouse and toxic methane gase, accelerating climate change throughout Bolivia and the region. Critics also say that the environmental impacts will decrease tourism in the region, potentially grea"&amp;"tly harming the tourism-focused economy in the area. There have been various protests against the project's construction, including one in November 2016 when representatives of 17 indigenous communities heald a vigil at the site of the dams and blocked ac"&amp;"cess to the site by GeoData (the Italian firm hired by Bolivia's government to study the feasibility of the dams). This protest was deemed successful after GeoData's engineers withdrew their equipment after 12 days of the block, citing a lack of community"&amp;" consensus for the dam as their reasoning. It is unclear who is funding and implementing the dam, and the last information available is from 2019 when the project was declared unfeasible.")</f>
        <v>This project includes the construction of the Chepete hydroelectric power plant on the Beni River in the Amazon region of Bolivia. It is proposed to be completed over the next 10-15 years and is expected to have a capacity to generate around 2000MW of hydropower electricity. The project was given national priority in 2007 and was expected to begin construction in 2019. However, the current construction status is unknown due to a series of setbacks and controversies. The project, which includes both the Chepete dam and the El Bala dam,  has had major backlash over the location of the projects, and the impact on the communities and environment around them. Around 4,000 inhabitants of indigenous Amazonian communities will need to be displaced from the land. The affected zone for the dam includes portions of the Pilón Largas and Madidi National Parks, which are some of the world's most biodiverse regions and house thousands of rare animal and plant species. Opponents of the project argue that the dams would disrupt the biodiversity and release enormous amounts of greenhouse and toxic methane gase, accelerating climate change throughout Bolivia and the region. Critics also say that the environmental impacts will decrease tourism in the region, potentially greatly harming the tourism-focused economy in the area. There have been various protests against the project's construction, including one in November 2016 when representatives of 17 indigenous communities heald a vigil at the site of the dams and blocked access to the site by GeoData (the Italian firm hired by Bolivia's government to study the feasibility of the dams). This protest was deemed successful after GeoData's engineers withdrew their equipment after 12 days of the block, citing a lack of community consensus for the dam as their reasoning. It is unclear who is funding and implementing the dam, and the last information available is from 2019 when the project was declared unfeasible.</v>
      </c>
      <c r="O133" s="6" t="str">
        <f ca="1">IFERROR(__xludf.DUMMYFUNCTION("""COMPUTED_VALUE"""),"00/00/2007")</f>
        <v>00/00/2007</v>
      </c>
      <c r="P133" s="6" t="str">
        <f ca="1">IFERROR(__xludf.DUMMYFUNCTION("""COMPUTED_VALUE"""),"N/A")</f>
        <v>N/A</v>
      </c>
      <c r="Q133" s="6" t="str">
        <f ca="1">IFERROR(__xludf.DUMMYFUNCTION("""COMPUTED_VALUE"""),"Delayed")</f>
        <v>Delayed</v>
      </c>
      <c r="R133" s="6" t="str">
        <f ca="1">IFERROR(__xludf.DUMMYFUNCTION("""COMPUTED_VALUE"""),"DAM")</f>
        <v>DAM</v>
      </c>
      <c r="S133" s="9" t="str">
        <f ca="1">IFERROR(__xludf.DUMMYFUNCTION("""COMPUTED_VALUE"""),"https://gist.github.com/fb2d389c62f245c23463d4b39bc0fd2a")</f>
        <v>https://gist.github.com/fb2d389c62f245c23463d4b39bc0fd2a</v>
      </c>
      <c r="T133" s="6" t="str">
        <f ca="1">IFERROR(__xludf.DUMMYFUNCTION("""COMPUTED_VALUE"""),"DAM")</f>
        <v>DAM</v>
      </c>
      <c r="U133" s="6" t="str">
        <f ca="1">IFERROR(__xludf.DUMMYFUNCTION("""COMPUTED_VALUE"""),"use google map image to geocode.
The project is delayed and incompleted, so it is 
not sure the exact area that project covers")</f>
        <v>use google map image to geocode.
The project is delayed and incompleted, so it is 
not sure the exact area that project covers</v>
      </c>
      <c r="V133" s="6" t="str">
        <f ca="1">IFERROR(__xludf.DUMMYFUNCTION("""COMPUTED_VALUE"""),"Yes (Both)")</f>
        <v>Yes (Both)</v>
      </c>
      <c r="W133" s="6" t="str">
        <f ca="1">IFERROR(__xludf.DUMMYFUNCTION("""COMPUTED_VALUE"""),"Beni")</f>
        <v>Beni</v>
      </c>
      <c r="X133" s="6"/>
      <c r="Y133" s="6" t="str">
        <f ca="1">IFERROR(__xludf.DUMMYFUNCTION("""COMPUTED_VALUE"""),"No construction started")</f>
        <v>No construction started</v>
      </c>
      <c r="Z133" s="6" t="str">
        <f ca="1">IFERROR(__xludf.DUMMYFUNCTION("""COMPUTED_VALUE"""),"El Bala: LAT: -14.513020 LON: -67.492400. Chepete: AT: -15.001663 LON: -67.732137 ")</f>
        <v xml:space="preserve">El Bala: LAT: -14.513020 LON: -67.492400. Chepete: AT: -15.001663 LON: -67.732137 </v>
      </c>
      <c r="AA133" s="6"/>
      <c r="AB133" s="6"/>
      <c r="AC133" s="6"/>
      <c r="AD133" s="6"/>
      <c r="AE133" s="6"/>
      <c r="AF133" s="6"/>
      <c r="AG133" s="6"/>
    </row>
    <row r="134" spans="1:33" ht="171.6" x14ac:dyDescent="0.25">
      <c r="A134" s="6">
        <f ca="1">IFERROR(__xludf.DUMMYFUNCTION("""COMPUTED_VALUE"""),154)</f>
        <v>154</v>
      </c>
      <c r="B134" s="6">
        <f ca="1">IFERROR(__xludf.DUMMYFUNCTION("""COMPUTED_VALUE"""),5)</f>
        <v>5</v>
      </c>
      <c r="C134" s="6" t="str">
        <f ca="1">IFERROR(__xludf.DUMMYFUNCTION("""COMPUTED_VALUE"""),"Coca Codo Sinclair Dam")</f>
        <v>Coca Codo Sinclair Dam</v>
      </c>
      <c r="D134" s="6" t="str">
        <f ca="1">IFERROR(__xludf.DUMMYFUNCTION("""COMPUTED_VALUE"""),"CHEXIM")</f>
        <v>CHEXIM</v>
      </c>
      <c r="E134" s="6" t="str">
        <f ca="1">IFERROR(__xludf.DUMMYFUNCTION("""COMPUTED_VALUE"""),"CHEXIM")</f>
        <v>CHEXIM</v>
      </c>
      <c r="F134" s="6" t="str">
        <f ca="1">IFERROR(__xludf.DUMMYFUNCTION("""COMPUTED_VALUE"""),"Sinohydro ")</f>
        <v xml:space="preserve">Sinohydro </v>
      </c>
      <c r="G134" s="6">
        <f ca="1">IFERROR(__xludf.DUMMYFUNCTION("""COMPUTED_VALUE"""),1.1)</f>
        <v>1.1000000000000001</v>
      </c>
      <c r="H134" s="6" t="str">
        <f ca="1">IFERROR(__xludf.DUMMYFUNCTION("""COMPUTED_VALUE"""),"Energy - sustainable")</f>
        <v>Energy - sustainable</v>
      </c>
      <c r="I134" s="6" t="str">
        <f ca="1">IFERROR(__xludf.DUMMYFUNCTION("""COMPUTED_VALUE"""),"Loan")</f>
        <v>Loan</v>
      </c>
      <c r="J134" s="7">
        <f ca="1">IFERROR(__xludf.DUMMYFUNCTION("""COMPUTED_VALUE"""),2600000000)</f>
        <v>2600000000</v>
      </c>
      <c r="K134" s="6" t="str">
        <f ca="1">IFERROR(__xludf.DUMMYFUNCTION("""COMPUTED_VALUE"""),"ECU")</f>
        <v>ECU</v>
      </c>
      <c r="L134" s="6" t="str">
        <f ca="1">IFERROR(__xludf.DUMMYFUNCTION("""COMPUTED_VALUE"""),"Ecuador")</f>
        <v>Ecuador</v>
      </c>
      <c r="M134" s="6" t="str">
        <f ca="1">IFERROR(__xludf.DUMMYFUNCTION("""COMPUTED_VALUE"""),"Napo-Sucumbios province (between the provinces of Napo and Sucumbíos); in the Amazon Basin, 100km east of Ecuador's capital Quito ")</f>
        <v xml:space="preserve">Napo-Sucumbios province (between the provinces of Napo and Sucumbíos); in the Amazon Basin, 100km east of Ecuador's capital Quito </v>
      </c>
      <c r="N134" s="6" t="str">
        <f ca="1">IFERROR(__xludf.DUMMYFUNCTION("""COMPUTED_VALUE"""),"The Coca Codo Sinclair hydroelectric facility is the largest project in Ecuador's history. It is a 1,500MW project that can supply approximately 35% of the country's overall electricity consumption. Its $2.6 billion USD construction cost was primarily fun"&amp;"ded by a 1.68 billion USD loan from the Export Import Bank of China that is payable within 15 years; the remaining funds were provided by the Ecuador Government. It was originally proposed in the early 1980s, but could not be constructed because the Reven"&amp;"tador volcanic eruption in 1987, as well as financial concerns about the project. The project was re-opened in 2007, with construction beginning in 2010 and finishing by November 2016. However, due to the inferior materials used to construct the dam, it h"&amp;"as dealt with consistent structural issues ever since. In 2016, studies of the facility revealed 7,648 cracks, with one measuring 38 cm, in the power-generation chambers of the hydropower plant. A report from the Consulting Inspection Services claims that"&amp;" the structural problems stem from the use of construction materials by Sinohydro that did not meet industry standards, as well as Sinohydro's failure to provide an adequate training program for the hydroelectric operating personnel at the plant. The latt"&amp;"er is especially troubling, as apparently the training program was part of the contract Sinohydro had signed. Other public statements have also blamed former Ecuadorian president Rafael Correa, stating that his administration failed to provide the oversig"&amp;"ht needed to ensure that the construction occurred safely and correctly. In 2020, the erosion and structural problems associated with the dam led to a massive oil spill.")</f>
        <v>The Coca Codo Sinclair hydroelectric facility is the largest project in Ecuador's history. It is a 1,500MW project that can supply approximately 35% of the country's overall electricity consumption. Its $2.6 billion USD construction cost was primarily funded by a 1.68 billion USD loan from the Export Import Bank of China that is payable within 15 years; the remaining funds were provided by the Ecuador Government. It was originally proposed in the early 1980s, but could not be constructed because the Reventador volcanic eruption in 1987, as well as financial concerns about the project. The project was re-opened in 2007, with construction beginning in 2010 and finishing by November 2016. However, due to the inferior materials used to construct the dam, it has dealt with consistent structural issues ever since. In 2016, studies of the facility revealed 7,648 cracks, with one measuring 38 cm, in the power-generation chambers of the hydropower plant. A report from the Consulting Inspection Services claims that the structural problems stem from the use of construction materials by Sinohydro that did not meet industry standards, as well as Sinohydro's failure to provide an adequate training program for the hydroelectric operating personnel at the plant. The latter is especially troubling, as apparently the training program was part of the contract Sinohydro had signed. Other public statements have also blamed former Ecuadorian president Rafael Correa, stating that his administration failed to provide the oversight needed to ensure that the construction occurred safely and correctly. In 2020, the erosion and structural problems associated with the dam led to a massive oil spill.</v>
      </c>
      <c r="O134" s="6">
        <f ca="1">IFERROR(__xludf.DUMMYFUNCTION("""COMPUTED_VALUE"""),2010)</f>
        <v>2010</v>
      </c>
      <c r="P134" s="6" t="str">
        <f ca="1">IFERROR(__xludf.DUMMYFUNCTION("""COMPUTED_VALUE"""),"11/00/2016")</f>
        <v>11/00/2016</v>
      </c>
      <c r="Q134" s="6" t="str">
        <f ca="1">IFERROR(__xludf.DUMMYFUNCTION("""COMPUTED_VALUE"""),"Completed")</f>
        <v>Completed</v>
      </c>
      <c r="R134" s="6" t="str">
        <f ca="1">IFERROR(__xludf.DUMMYFUNCTION("""COMPUTED_VALUE"""),"DAM")</f>
        <v>DAM</v>
      </c>
      <c r="S134" s="9" t="str">
        <f ca="1">IFERROR(__xludf.DUMMYFUNCTION("""COMPUTED_VALUE"""),"https://gist.github.com/Remy2020/f8924d3456dc5d0f0a4ce0e996543751")</f>
        <v>https://gist.github.com/Remy2020/f8924d3456dc5d0f0a4ce0e996543751</v>
      </c>
      <c r="T134" s="6" t="str">
        <f ca="1">IFERROR(__xludf.DUMMYFUNCTION("""COMPUTED_VALUE"""),"DAM")</f>
        <v>DAM</v>
      </c>
      <c r="U134" s="6" t="str">
        <f ca="1">IFERROR(__xludf.DUMMYFUNCTION("""COMPUTED_VALUE"""),"Use google map images to geocode. It is unsure if the geocoding covers all the construction site")</f>
        <v>Use google map images to geocode. It is unsure if the geocoding covers all the construction site</v>
      </c>
      <c r="V134" s="6" t="str">
        <f ca="1">IFERROR(__xludf.DUMMYFUNCTION("""COMPUTED_VALUE"""),"Yes (Both)")</f>
        <v>Yes (Both)</v>
      </c>
      <c r="W134" s="6" t="str">
        <f ca="1">IFERROR(__xludf.DUMMYFUNCTION("""COMPUTED_VALUE"""),"Napo")</f>
        <v>Napo</v>
      </c>
      <c r="X134" s="12">
        <f ca="1">IFERROR(__xludf.DUMMYFUNCTION("""COMPUTED_VALUE"""),43872)</f>
        <v>43872</v>
      </c>
      <c r="Y134" s="6" t="str">
        <f ca="1">IFERROR(__xludf.DUMMYFUNCTION("""COMPUTED_VALUE"""),"In imagery the dam has yet to start construction")</f>
        <v>In imagery the dam has yet to start construction</v>
      </c>
      <c r="Z134" s="6" t="str">
        <f ca="1">IFERROR(__xludf.DUMMYFUNCTION("""COMPUTED_VALUE"""),"LAT: -0.198424 LON: -77.685998")</f>
        <v>LAT: -0.198424 LON: -77.685998</v>
      </c>
      <c r="AA134" s="6"/>
      <c r="AB134" s="6"/>
      <c r="AC134" s="6"/>
      <c r="AD134" s="6"/>
      <c r="AE134" s="6"/>
      <c r="AF134" s="6"/>
      <c r="AG134" s="6"/>
    </row>
    <row r="135" spans="1:33" ht="184.8" x14ac:dyDescent="0.25">
      <c r="A135" s="6">
        <f ca="1">IFERROR(__xludf.DUMMYFUNCTION("""COMPUTED_VALUE"""),155)</f>
        <v>155</v>
      </c>
      <c r="B135" s="6">
        <f ca="1">IFERROR(__xludf.DUMMYFUNCTION("""COMPUTED_VALUE"""),8)</f>
        <v>8</v>
      </c>
      <c r="C135" s="6" t="str">
        <f ca="1">IFERROR(__xludf.DUMMYFUNCTION("""COMPUTED_VALUE"""),"Mazar-Dudas Hydroelectric Complex")</f>
        <v>Mazar-Dudas Hydroelectric Complex</v>
      </c>
      <c r="D135" s="6" t="str">
        <f ca="1">IFERROR(__xludf.DUMMYFUNCTION("""COMPUTED_VALUE"""),"CDB")</f>
        <v>CDB</v>
      </c>
      <c r="E135" s="6" t="str">
        <f ca="1">IFERROR(__xludf.DUMMYFUNCTION("""COMPUTED_VALUE"""),"CDB")</f>
        <v>CDB</v>
      </c>
      <c r="F135" s="6" t="str">
        <f ca="1">IFERROR(__xludf.DUMMYFUNCTION("""COMPUTED_VALUE"""),"China National Electric Engineering Company (CNEEC)")</f>
        <v>China National Electric Engineering Company (CNEEC)</v>
      </c>
      <c r="G135" s="6">
        <f ca="1">IFERROR(__xludf.DUMMYFUNCTION("""COMPUTED_VALUE"""),1.1)</f>
        <v>1.1000000000000001</v>
      </c>
      <c r="H135" s="6" t="str">
        <f ca="1">IFERROR(__xludf.DUMMYFUNCTION("""COMPUTED_VALUE"""),"Energy - sustainable")</f>
        <v>Energy - sustainable</v>
      </c>
      <c r="I135" s="6" t="str">
        <f ca="1">IFERROR(__xludf.DUMMYFUNCTION("""COMPUTED_VALUE"""),"Loan")</f>
        <v>Loan</v>
      </c>
      <c r="J135" s="6" t="str">
        <f ca="1">IFERROR(__xludf.DUMMYFUNCTION("""COMPUTED_VALUE"""),"$41,600,000 USD")</f>
        <v>$41,600,000 USD</v>
      </c>
      <c r="K135" s="6" t="str">
        <f ca="1">IFERROR(__xludf.DUMMYFUNCTION("""COMPUTED_VALUE"""),"ECU")</f>
        <v>ECU</v>
      </c>
      <c r="L135" s="6" t="str">
        <f ca="1">IFERROR(__xludf.DUMMYFUNCTION("""COMPUTED_VALUE"""),"Ecuador")</f>
        <v>Ecuador</v>
      </c>
      <c r="M135" s="6" t="str">
        <f ca="1">IFERROR(__xludf.DUMMYFUNCTION("""COMPUTED_VALUE"""),"Cañar province; Azogues canton; Rivera, Pindilig, Taday, &amp; Luis Cordero parroquias; along the rivers Pindilig and Mazar")</f>
        <v>Cañar province; Azogues canton; Rivera, Pindilig, Taday, &amp; Luis Cordero parroquias; along the rivers Pindilig and Mazar</v>
      </c>
      <c r="N135" s="6" t="str">
        <f ca="1">IFERROR(__xludf.DUMMYFUNCTION("""COMPUTED_VALUE"""),"Funded by a 41.6 million USD loan from the China Development Bank, the 21 megawatt run-of-the-river Mazar-Dudas hydroelectric power plant, located along the Pindilig and Mazar rivers, began construction in 2012. The project is composed of 3 HPPs: Alazan ("&amp;"6.23 MW), San Antonio (7.19 MW), and Dudas (7.40 MW). The project will reduce CO2 emissions by 57,000 tons annually. However, Ecuador's CELEC unilaterally terminated the contract with CNEEC in December 2015 due to non-compliance. Part of this non-complian"&amp;"ce is the 66% expected price increase of the project, which is now estimated to cost 83 million USD. Another potential factor for the contract termination is that 3 Ecuadorian laborers died in a construction accident at the project. The project has been p"&amp;"aralyzed and construction has not occurred since 2015. The project remains at 86.53% completion with only the Alazan HPP operational (which it has been since April 2015). During construction the project generated 1150 jobs and will benefit 76,165 inhabita"&amp;"nts upon completion. The project is said to be accompanied by social development projects, including: adequate solid waste management, improvement of educational infrastructure, expansion of electrical networks, road maintenance, sanitation services, trai"&amp;"ning in environmental education, and improvement of existing production services. However, there is no evidence that these projects have occurred, and they may have been impacted by the sudden contract termination. A May 2020 report by the Ecuadorian gove"&amp;"rnment announced that the project would be completed by the end of 2021, but it is unclear whether this construction timeline is a feasible goal. ")</f>
        <v xml:space="preserve">Funded by a 41.6 million USD loan from the China Development Bank, the 21 megawatt run-of-the-river Mazar-Dudas hydroelectric power plant, located along the Pindilig and Mazar rivers, began construction in 2012. The project is composed of 3 HPPs: Alazan (6.23 MW), San Antonio (7.19 MW), and Dudas (7.40 MW). The project will reduce CO2 emissions by 57,000 tons annually. However, Ecuador's CELEC unilaterally terminated the contract with CNEEC in December 2015 due to non-compliance. Part of this non-compliance is the 66% expected price increase of the project, which is now estimated to cost 83 million USD. Another potential factor for the contract termination is that 3 Ecuadorian laborers died in a construction accident at the project. The project has been paralyzed and construction has not occurred since 2015. The project remains at 86.53% completion with only the Alazan HPP operational (which it has been since April 2015). During construction the project generated 1150 jobs and will benefit 76,165 inhabitants upon completion. The project is said to be accompanied by social development projects, including: adequate solid waste management, improvement of educational infrastructure, expansion of electrical networks, road maintenance, sanitation services, training in environmental education, and improvement of existing production services. However, there is no evidence that these projects have occurred, and they may have been impacted by the sudden contract termination. A May 2020 report by the Ecuadorian government announced that the project would be completed by the end of 2021, but it is unclear whether this construction timeline is a feasible goal. </v>
      </c>
      <c r="O135" s="12">
        <f ca="1">IFERROR(__xludf.DUMMYFUNCTION("""COMPUTED_VALUE"""),40603)</f>
        <v>40603</v>
      </c>
      <c r="P135" s="6" t="str">
        <f ca="1">IFERROR(__xludf.DUMMYFUNCTION("""COMPUTED_VALUE"""),"N/A")</f>
        <v>N/A</v>
      </c>
      <c r="Q135" s="6" t="str">
        <f ca="1">IFERROR(__xludf.DUMMYFUNCTION("""COMPUTED_VALUE"""),"Under construction - delayed")</f>
        <v>Under construction - delayed</v>
      </c>
      <c r="R135" s="6" t="str">
        <f ca="1">IFERROR(__xludf.DUMMYFUNCTION("""COMPUTED_VALUE"""),"dam")</f>
        <v>dam</v>
      </c>
      <c r="S135" s="9" t="str">
        <f ca="1">IFERROR(__xludf.DUMMYFUNCTION("""COMPUTED_VALUE"""),"https://gist.github.com/Remy2020/eb8806be40383fcadef5e6612d664592")</f>
        <v>https://gist.github.com/Remy2020/eb8806be40383fcadef5e6612d664592</v>
      </c>
      <c r="T135" s="6" t="str">
        <f ca="1">IFERROR(__xludf.DUMMYFUNCTION("""COMPUTED_VALUE"""),"DAM")</f>
        <v>DAM</v>
      </c>
      <c r="U135" s="6" t="str">
        <f ca="1">IFERROR(__xludf.DUMMYFUNCTION("""COMPUTED_VALUE"""),"use google maps image to geocode
not sure the exact area that project covers")</f>
        <v>use google maps image to geocode
not sure the exact area that project covers</v>
      </c>
      <c r="V135" s="6" t="str">
        <f ca="1">IFERROR(__xludf.DUMMYFUNCTION("""COMPUTED_VALUE"""),"Yes (Both)")</f>
        <v>Yes (Both)</v>
      </c>
      <c r="W135" s="6" t="str">
        <f ca="1">IFERROR(__xludf.DUMMYFUNCTION("""COMPUTED_VALUE"""),"Cañar")</f>
        <v>Cañar</v>
      </c>
      <c r="X135" s="6" t="str">
        <f ca="1">IFERROR(__xludf.DUMMYFUNCTION("""COMPUTED_VALUE"""),"12/18/2019 | 06/12/2020")</f>
        <v>12/18/2019 | 06/12/2020</v>
      </c>
      <c r="Y135" s="6" t="str">
        <f ca="1">IFERROR(__xludf.DUMMYFUNCTION("""COMPUTED_VALUE"""),"River expanded north of the dam,construction on right side of the dam ")</f>
        <v xml:space="preserve">River expanded north of the dam,construction on right side of the dam </v>
      </c>
      <c r="Z135" s="6" t="str">
        <f ca="1">IFERROR(__xludf.DUMMYFUNCTION("""COMPUTED_VALUE"""),"LAT: -2.595343 LON: -78.621807")</f>
        <v>LAT: -2.595343 LON: -78.621807</v>
      </c>
      <c r="AA135" s="6"/>
      <c r="AB135" s="6"/>
      <c r="AC135" s="6"/>
      <c r="AD135" s="6"/>
      <c r="AE135" s="6"/>
      <c r="AF135" s="6"/>
      <c r="AG135" s="6"/>
    </row>
    <row r="136" spans="1:33" ht="132" x14ac:dyDescent="0.25">
      <c r="A136" s="6">
        <f ca="1">IFERROR(__xludf.DUMMYFUNCTION("""COMPUTED_VALUE"""),156)</f>
        <v>156</v>
      </c>
      <c r="B136" s="6">
        <f ca="1">IFERROR(__xludf.DUMMYFUNCTION("""COMPUTED_VALUE"""),10)</f>
        <v>10</v>
      </c>
      <c r="C136" s="6" t="str">
        <f ca="1">IFERROR(__xludf.DUMMYFUNCTION("""COMPUTED_VALUE"""),"Quijos Hydroelectric plant")</f>
        <v>Quijos Hydroelectric plant</v>
      </c>
      <c r="D136" s="6" t="str">
        <f ca="1">IFERROR(__xludf.DUMMYFUNCTION("""COMPUTED_VALUE"""),"CDB")</f>
        <v>CDB</v>
      </c>
      <c r="E136" s="6" t="str">
        <f ca="1">IFERROR(__xludf.DUMMYFUNCTION("""COMPUTED_VALUE"""),"CDB")</f>
        <v>CDB</v>
      </c>
      <c r="F136" s="6" t="str">
        <f ca="1">IFERROR(__xludf.DUMMYFUNCTION("""COMPUTED_VALUE"""),"China National Electric Engineering Company (CNEEC)")</f>
        <v>China National Electric Engineering Company (CNEEC)</v>
      </c>
      <c r="G136" s="6">
        <f ca="1">IFERROR(__xludf.DUMMYFUNCTION("""COMPUTED_VALUE"""),1.1)</f>
        <v>1.1000000000000001</v>
      </c>
      <c r="H136" s="6" t="str">
        <f ca="1">IFERROR(__xludf.DUMMYFUNCTION("""COMPUTED_VALUE"""),"Energy - sustainable")</f>
        <v>Energy - sustainable</v>
      </c>
      <c r="I136" s="6" t="str">
        <f ca="1">IFERROR(__xludf.DUMMYFUNCTION("""COMPUTED_VALUE"""),"Loan")</f>
        <v>Loan</v>
      </c>
      <c r="J136" s="6" t="str">
        <f ca="1">IFERROR(__xludf.DUMMYFUNCTION("""COMPUTED_VALUE"""),"$94,700,000 USD")</f>
        <v>$94,700,000 USD</v>
      </c>
      <c r="K136" s="6" t="str">
        <f ca="1">IFERROR(__xludf.DUMMYFUNCTION("""COMPUTED_VALUE"""),"ECU")</f>
        <v>ECU</v>
      </c>
      <c r="L136" s="6" t="str">
        <f ca="1">IFERROR(__xludf.DUMMYFUNCTION("""COMPUTED_VALUE"""),"Ecuador")</f>
        <v>Ecuador</v>
      </c>
      <c r="M136" s="6" t="str">
        <f ca="1">IFERROR(__xludf.DUMMYFUNCTION("""COMPUTED_VALUE"""),"Napo Province, Quijos canton, at the intersecction of the Quijos River and the Papallacta river")</f>
        <v>Napo Province, Quijos canton, at the intersecction of the Quijos River and the Papallacta river</v>
      </c>
      <c r="N136" s="6" t="str">
        <f ca="1">IFERROR(__xludf.DUMMYFUNCTION("""COMPUTED_VALUE"""),"The Quijos hydroelectric project was funded by CDB, a Chinese state-owned enterprise; constructed by CNEEC, a Chinese state-owned enterprise; and overseen by CELEC, an Ecuadorian state-owned enterprise. Construction began in 2012 and was expected to be co"&amp;"mpleted in March 2016. However, due to geological problems and CNEEC's non-compliance, CELEC, with the support of Ecuador's Public Procurement Service (SERCOP), terminated the contract in December 2015. More specifically, CELEC felt that CNEEC was not cap"&amp;"able of maintaining technical, quality, and engineering standards because the firm used discontinued excavation methods, no jumbo-type drilling machinery, limited personnel, and no experience. Construction on the project has been halted as the two governm"&amp;"ents continue to discuss remedies. Sources report that in January 2017, 46.72% of the project was completed, a number that was again reported in July 2020. The project is estimated to cost $115 million USD, of which CDB is loaning $94.7 million USD. The p"&amp;"roject will have the capacity to produce 50 MW, will bring electricity to 6000 inhabitants local communitieis in this remote part of the Amazon, create 436 jobs, and reduce CO2 emissions by 180,000 tons annually.")</f>
        <v>The Quijos hydroelectric project was funded by CDB, a Chinese state-owned enterprise; constructed by CNEEC, a Chinese state-owned enterprise; and overseen by CELEC, an Ecuadorian state-owned enterprise. Construction began in 2012 and was expected to be completed in March 2016. However, due to geological problems and CNEEC's non-compliance, CELEC, with the support of Ecuador's Public Procurement Service (SERCOP), terminated the contract in December 2015. More specifically, CELEC felt that CNEEC was not capable of maintaining technical, quality, and engineering standards because the firm used discontinued excavation methods, no jumbo-type drilling machinery, limited personnel, and no experience. Construction on the project has been halted as the two governments continue to discuss remedies. Sources report that in January 2017, 46.72% of the project was completed, a number that was again reported in July 2020. The project is estimated to cost $115 million USD, of which CDB is loaning $94.7 million USD. The project will have the capacity to produce 50 MW, will bring electricity to 6000 inhabitants local communitieis in this remote part of the Amazon, create 436 jobs, and reduce CO2 emissions by 180,000 tons annually.</v>
      </c>
      <c r="O136" s="14">
        <f ca="1">IFERROR(__xludf.DUMMYFUNCTION("""COMPUTED_VALUE"""),40909)</f>
        <v>40909</v>
      </c>
      <c r="P136" s="6" t="str">
        <f ca="1">IFERROR(__xludf.DUMMYFUNCTION("""COMPUTED_VALUE"""),"N/A")</f>
        <v>N/A</v>
      </c>
      <c r="Q136" s="6" t="str">
        <f ca="1">IFERROR(__xludf.DUMMYFUNCTION("""COMPUTED_VALUE"""),"Under construction - delayed")</f>
        <v>Under construction - delayed</v>
      </c>
      <c r="R136" s="6" t="str">
        <f ca="1">IFERROR(__xludf.DUMMYFUNCTION("""COMPUTED_VALUE"""),"DAM")</f>
        <v>DAM</v>
      </c>
      <c r="S136" s="9" t="str">
        <f ca="1">IFERROR(__xludf.DUMMYFUNCTION("""COMPUTED_VALUE"""),"https://gist.github.com/Remy2020/9f8aa80f40a8f58458f832d5992bca75")</f>
        <v>https://gist.github.com/Remy2020/9f8aa80f40a8f58458f832d5992bca75</v>
      </c>
      <c r="T136" s="6" t="str">
        <f ca="1">IFERROR(__xludf.DUMMYFUNCTION("""COMPUTED_VALUE"""),"DAM")</f>
        <v>DAM</v>
      </c>
      <c r="U136" s="9" t="str">
        <f ca="1">IFERROR(__xludf.DUMMYFUNCTION("""COMPUTED_VALUE"""),"https://cdm.unfccc.int/filestorage/z/1/BR4A5PUC8F3HK6Y0TMZIQWSXEJN2O7.pdf/PDD-CLEAN-QUIJOS-HYDRO-09-09.pdf?t=NGh8cWlxMHJlfDAAsn_Gew8M7ClxqY1DCgkX
")</f>
        <v xml:space="preserve">https://cdm.unfccc.int/filestorage/z/1/BR4A5PUC8F3HK6Y0TMZIQWSXEJN2O7.pdf/PDD-CLEAN-QUIJOS-HYDRO-09-09.pdf?t=NGh8cWlxMHJlfDAAsn_Gew8M7ClxqY1DCgkX
</v>
      </c>
      <c r="V136" s="6"/>
      <c r="W136" s="6" t="str">
        <f ca="1">IFERROR(__xludf.DUMMYFUNCTION("""COMPUTED_VALUE"""),"Napo")</f>
        <v>Napo</v>
      </c>
      <c r="X136" s="12">
        <f ca="1">IFERROR(__xludf.DUMMYFUNCTION("""COMPUTED_VALUE"""),43872)</f>
        <v>43872</v>
      </c>
      <c r="Y136" s="6" t="str">
        <f ca="1">IFERROR(__xludf.DUMMYFUNCTION("""COMPUTED_VALUE"""),"No Change")</f>
        <v>No Change</v>
      </c>
      <c r="Z136" s="6" t="str">
        <f ca="1">IFERROR(__xludf.DUMMYFUNCTION("""COMPUTED_VALUE"""),"LAT: -0.437241 LON:-77.969748")</f>
        <v>LAT: -0.437241 LON:-77.969748</v>
      </c>
      <c r="AA136" s="6"/>
      <c r="AB136" s="6"/>
      <c r="AC136" s="6"/>
      <c r="AD136" s="6"/>
      <c r="AE136" s="6"/>
      <c r="AF136" s="6"/>
      <c r="AG136" s="6"/>
    </row>
    <row r="137" spans="1:33" ht="264" x14ac:dyDescent="0.25">
      <c r="A137" s="6">
        <f ca="1">IFERROR(__xludf.DUMMYFUNCTION("""COMPUTED_VALUE"""),157)</f>
        <v>157</v>
      </c>
      <c r="B137" s="6">
        <f ca="1">IFERROR(__xludf.DUMMYFUNCTION("""COMPUTED_VALUE"""),9)</f>
        <v>9</v>
      </c>
      <c r="C137" s="6" t="str">
        <f ca="1">IFERROR(__xludf.DUMMYFUNCTION("""COMPUTED_VALUE"""),"Toachi Pilaton Dam")</f>
        <v>Toachi Pilaton Dam</v>
      </c>
      <c r="D137" s="6" t="str">
        <f ca="1">IFERROR(__xludf.DUMMYFUNCTION("""COMPUTED_VALUE"""),"Other Institution")</f>
        <v>Other Institution</v>
      </c>
      <c r="E137" s="6" t="str">
        <f ca="1">IFERROR(__xludf.DUMMYFUNCTION("""COMPUTED_VALUE"""),"BIESS &amp; Russia's EXIM Bank")</f>
        <v>BIESS &amp; Russia's EXIM Bank</v>
      </c>
      <c r="F137" s="6" t="str">
        <f ca="1">IFERROR(__xludf.DUMMYFUNCTION("""COMPUTED_VALUE"""),"Odebrecht, China International Water &amp; Electric Corporation (CWE), Inter RAO UES (Russian), and Russia's Tyazhmash S.A.")</f>
        <v>Odebrecht, China International Water &amp; Electric Corporation (CWE), Inter RAO UES (Russian), and Russia's Tyazhmash S.A.</v>
      </c>
      <c r="G137" s="6">
        <f ca="1">IFERROR(__xludf.DUMMYFUNCTION("""COMPUTED_VALUE"""),1.5)</f>
        <v>1.5</v>
      </c>
      <c r="H137" s="6" t="str">
        <f ca="1">IFERROR(__xludf.DUMMYFUNCTION("""COMPUTED_VALUE"""),"Energy - sustainable")</f>
        <v>Energy - sustainable</v>
      </c>
      <c r="I137" s="6" t="str">
        <f ca="1">IFERROR(__xludf.DUMMYFUNCTION("""COMPUTED_VALUE"""),"Contract")</f>
        <v>Contract</v>
      </c>
      <c r="J137" s="6" t="str">
        <f ca="1">IFERROR(__xludf.DUMMYFUNCTION("""COMPUTED_VALUE"""),"USD $240,000,000")</f>
        <v>USD $240,000,000</v>
      </c>
      <c r="K137" s="6" t="str">
        <f ca="1">IFERROR(__xludf.DUMMYFUNCTION("""COMPUTED_VALUE"""),"ECU")</f>
        <v>ECU</v>
      </c>
      <c r="L137" s="6" t="str">
        <f ca="1">IFERROR(__xludf.DUMMYFUNCTION("""COMPUTED_VALUE"""),"Ecuador")</f>
        <v>Ecuador</v>
      </c>
      <c r="M137" s="6" t="str">
        <f ca="1">IFERROR(__xludf.DUMMYFUNCTION("""COMPUTED_VALUE"""),"At the conjunction of the Pichincha Province (Mejia canton), Santo Domingo de los Tsachilas province (Canton of the same name), and Cotopaxi province (Sigchos province); Along the Toachi and Pilaton rivers; “La captación del Pilatón y la presa del Toachi "&amp;"están localizadas en las coordenadas N 9’961,630; E 737.980 y N 9’959,340; E 731,980, respectivamente, del sistema UTM WGS 84.”")</f>
        <v>At the conjunction of the Pichincha Province (Mejia canton), Santo Domingo de los Tsachilas province (Canton of the same name), and Cotopaxi province (Sigchos province); Along the Toachi and Pilaton rivers; “La captación del Pilatón y la presa del Toachi están localizadas en las coordenadas N 9’961,630; E 737.980 y N 9’959,340; E 731,980, respectivamente, del sistema UTM WGS 84.”</v>
      </c>
      <c r="N137" s="6" t="str">
        <f ca="1">IFERROR(__xludf.DUMMYFUNCTION("""COMPUTED_VALUE"""),"In 2008, the Toachi Pilaton hydropower project was announced that it would be completed by Odebrecht. However, after international exposure with bribery and corruption in the company, then President Correa cancelled the project. It is important to note, t"&amp;"hat Correa himself was later found guilty in a trial on corruption. In 2010, Ecuador's CELEC signed an agreement to finance the project with Russia's Exim Bank (Roseximbank), contracted the project to the state-owned China International Water and Electric"&amp;" Corporation (CWE) for civil construction (contract amount was $240 million USD), and Russia's Inter RAO UES for electromechanical equipment. In December 2016, then President Correa once again cancelled the project. It is estimated that Ecuador lost over "&amp;"$3 million USD of public funds with these irregular termination of projects. On May 22, 2018, Russian contractor Tyazhmash S.A. was awarded the contract for the project.  The project has experienced large delays with the multiple charges of corruption. Mo"&amp;"st recently, the project was delayed by COVID-19 which prohibited foreign personnel from arriving to work on the project and inhibited local companies from fully operating. The project was 86.90% completed in July 2020 and the new estimated completion dat"&amp;"e is the latter half of 2021. Once completed, the project will have the cpacity to generate 254 MW, reduce CO2 emissions by 600,000 tons annually, created 2075 jobs during construction, and benefit 471,000 inhabitants. The project is accompanied by social"&amp;" development programs including improving potable water systems, expanding electricity networks, developing agricultural and tourist industries, improving roads, and boosting health standards.")</f>
        <v>In 2008, the Toachi Pilaton hydropower project was announced that it would be completed by Odebrecht. However, after international exposure with bribery and corruption in the company, then President Correa cancelled the project. It is important to note, that Correa himself was later found guilty in a trial on corruption. In 2010, Ecuador's CELEC signed an agreement to finance the project with Russia's Exim Bank (Roseximbank), contracted the project to the state-owned China International Water and Electric Corporation (CWE) for civil construction (contract amount was $240 million USD), and Russia's Inter RAO UES for electromechanical equipment. In December 2016, then President Correa once again cancelled the project. It is estimated that Ecuador lost over $3 million USD of public funds with these irregular termination of projects. On May 22, 2018, Russian contractor Tyazhmash S.A. was awarded the contract for the project.  The project has experienced large delays with the multiple charges of corruption. Most recently, the project was delayed by COVID-19 which prohibited foreign personnel from arriving to work on the project and inhibited local companies from fully operating. The project was 86.90% completed in July 2020 and the new estimated completion date is the latter half of 2021. Once completed, the project will have the cpacity to generate 254 MW, reduce CO2 emissions by 600,000 tons annually, created 2075 jobs during construction, and benefit 471,000 inhabitants. The project is accompanied by social development programs including improving potable water systems, expanding electricity networks, developing agricultural and tourist industries, improving roads, and boosting health standards.</v>
      </c>
      <c r="O137" s="6">
        <f ca="1">IFERROR(__xludf.DUMMYFUNCTION("""COMPUTED_VALUE"""),2008)</f>
        <v>2008</v>
      </c>
      <c r="P137" s="6" t="str">
        <f ca="1">IFERROR(__xludf.DUMMYFUNCTION("""COMPUTED_VALUE"""),"N/A")</f>
        <v>N/A</v>
      </c>
      <c r="Q137" s="6" t="str">
        <f ca="1">IFERROR(__xludf.DUMMYFUNCTION("""COMPUTED_VALUE"""),"Under construction - delayed")</f>
        <v>Under construction - delayed</v>
      </c>
      <c r="R137" s="6"/>
      <c r="S137" s="9" t="str">
        <f ca="1">IFERROR(__xludf.DUMMYFUNCTION("""COMPUTED_VALUE"""),"https://gist.github.com/Remy2020/4252cc4864a0f6ceecac60207e961d7c")</f>
        <v>https://gist.github.com/Remy2020/4252cc4864a0f6ceecac60207e961d7c</v>
      </c>
      <c r="T137" s="6"/>
      <c r="U137" s="6" t="str">
        <f ca="1">IFERROR(__xludf.DUMMYFUNCTION("""COMPUTED_VALUE"""),"https://cdm.unfccc.int/filestorage/V/D/9/VD94SPTK852OC7WJA0UL6FGZREN1IB/PDD.pdf?t=MEt8cWlxMmo5fDDffb6zCozLP2ljGA9_ZGOC
use google map images to geocode")</f>
        <v>https://cdm.unfccc.int/filestorage/V/D/9/VD94SPTK852OC7WJA0UL6FGZREN1IB/PDD.pdf?t=MEt8cWlxMmo5fDDffb6zCozLP2ljGA9_ZGOC
use google map images to geocode</v>
      </c>
      <c r="V137" s="6" t="str">
        <f ca="1">IFERROR(__xludf.DUMMYFUNCTION("""COMPUTED_VALUE"""),"Yes (Both)")</f>
        <v>Yes (Both)</v>
      </c>
      <c r="W137" s="6" t="str">
        <f ca="1">IFERROR(__xludf.DUMMYFUNCTION("""COMPUTED_VALUE"""),"Pichincha")</f>
        <v>Pichincha</v>
      </c>
      <c r="X137" s="6" t="str">
        <f ca="1">IFERROR(__xludf.DUMMYFUNCTION("""COMPUTED_VALUE"""),"09/23/2018 | 06/16/2019 |  09/20/2020")</f>
        <v>09/23/2018 | 06/16/2019 |  09/20/2020</v>
      </c>
      <c r="Y137" s="6" t="str">
        <f ca="1">IFERROR(__xludf.DUMMYFUNCTION("""COMPUTED_VALUE"""),"No Change")</f>
        <v>No Change</v>
      </c>
      <c r="Z137" s="6" t="str">
        <f ca="1">IFERROR(__xludf.DUMMYFUNCTION("""COMPUTED_VALUE"""),"LAT: -0.367738 LON: -78.915574")</f>
        <v>LAT: -0.367738 LON: -78.915574</v>
      </c>
      <c r="AA137" s="6"/>
      <c r="AB137" s="6"/>
      <c r="AC137" s="6"/>
      <c r="AD137" s="6"/>
      <c r="AE137" s="6"/>
      <c r="AF137" s="6"/>
      <c r="AG137" s="6"/>
    </row>
    <row r="138" spans="1:33" ht="158.4" x14ac:dyDescent="0.25">
      <c r="A138" s="6">
        <f ca="1">IFERROR(__xludf.DUMMYFUNCTION("""COMPUTED_VALUE"""),158)</f>
        <v>158</v>
      </c>
      <c r="B138" s="6">
        <f ca="1">IFERROR(__xludf.DUMMYFUNCTION("""COMPUTED_VALUE"""),6)</f>
        <v>6</v>
      </c>
      <c r="C138" s="6" t="str">
        <f ca="1">IFERROR(__xludf.DUMMYFUNCTION("""COMPUTED_VALUE"""),"Sopladora Hydroelectric Project")</f>
        <v>Sopladora Hydroelectric Project</v>
      </c>
      <c r="D138" s="6" t="str">
        <f ca="1">IFERROR(__xludf.DUMMYFUNCTION("""COMPUTED_VALUE"""),"CHEXIM")</f>
        <v>CHEXIM</v>
      </c>
      <c r="E138" s="6" t="str">
        <f ca="1">IFERROR(__xludf.DUMMYFUNCTION("""COMPUTED_VALUE"""),"CHEXIM")</f>
        <v>CHEXIM</v>
      </c>
      <c r="F138" s="6" t="str">
        <f ca="1">IFERROR(__xludf.DUMMYFUNCTION("""COMPUTED_VALUE"""),"China Gezhouba Group
Fopeca")</f>
        <v>China Gezhouba Group
Fopeca</v>
      </c>
      <c r="G138" s="6">
        <f ca="1">IFERROR(__xludf.DUMMYFUNCTION("""COMPUTED_VALUE"""),1.3)</f>
        <v>1.3</v>
      </c>
      <c r="H138" s="6" t="str">
        <f ca="1">IFERROR(__xludf.DUMMYFUNCTION("""COMPUTED_VALUE"""),"Energy - sustainable")</f>
        <v>Energy - sustainable</v>
      </c>
      <c r="I138" s="6" t="str">
        <f ca="1">IFERROR(__xludf.DUMMYFUNCTION("""COMPUTED_VALUE"""),"Loan")</f>
        <v>Loan</v>
      </c>
      <c r="J138" s="7">
        <f ca="1">IFERROR(__xludf.DUMMYFUNCTION("""COMPUTED_VALUE"""),571000000)</f>
        <v>571000000</v>
      </c>
      <c r="K138" s="6" t="str">
        <f ca="1">IFERROR(__xludf.DUMMYFUNCTION("""COMPUTED_VALUE"""),"ECU")</f>
        <v>ECU</v>
      </c>
      <c r="L138" s="6" t="str">
        <f ca="1">IFERROR(__xludf.DUMMYFUNCTION("""COMPUTED_VALUE"""),"Ecuador")</f>
        <v>Ecuador</v>
      </c>
      <c r="M138" s="6" t="str">
        <f ca="1">IFERROR(__xludf.DUMMYFUNCTION("""COMPUTED_VALUE"""),"Azuay and Morona Santiago Provinces")</f>
        <v>Azuay and Morona Santiago Provinces</v>
      </c>
      <c r="N138" s="6" t="str">
        <f ca="1">IFERROR(__xludf.DUMMYFUNCTION("""COMPUTED_VALUE"""),"On October 18, 2011, Export-Import Bank of China loaned USD 571 million to Ecuador for the construction of the Sopladora hydropower plant. The loan has an interest rate of 6.35%, grace period of 4 years, and maturity of 15 years. The project is owned by t"&amp;"he Ecuadorian state-owned operator CELEC and has a total cost of USD 755 million (85% is funded by China Eximbank). China Gezhouba Group and Ecuador company Fopeca are the contractors. Approximately 2,200 workers are employed at the Sopladora site, includ"&amp;"ing 400 Chinese laborers. The station is part of the Hydropaute cascade scheme in the Paute River in Azuay and Morono Santiago provinces. The Sopladora hydropower plant has an installed capacity of 487 MW. It is located on the Paute River in Azuay and Mor"&amp;"ono Santiago provinces. The project is the third-largest hydro installation in Ecuador, but does not include a dam, instead relying on water discharged by the nearby 1,075-MW Paute. It will fulfill about 13% of Ecuador’s total need for energy while allowi"&amp;"ng the country to cut the cost of importing fossil fuels by more than $280 million per year. Studies of the physical, environmental, social, and archaeological impacts of the project were conducted by Hidropaute, a branch of CELEC administering hydroelect"&amp;"ric operations, on an area of 1,318 hectares surrounding the project, no severe impacts are predicted. Construction began on April 26, 2011 and concluded in August 2016.")</f>
        <v>On October 18, 2011, Export-Import Bank of China loaned USD 571 million to Ecuador for the construction of the Sopladora hydropower plant. The loan has an interest rate of 6.35%, grace period of 4 years, and maturity of 15 years. The project is owned by the Ecuadorian state-owned operator CELEC and has a total cost of USD 755 million (85% is funded by China Eximbank). China Gezhouba Group and Ecuador company Fopeca are the contractors. Approximately 2,200 workers are employed at the Sopladora site, including 400 Chinese laborers. The station is part of the Hydropaute cascade scheme in the Paute River in Azuay and Morono Santiago provinces. The Sopladora hydropower plant has an installed capacity of 487 MW. It is located on the Paute River in Azuay and Morono Santiago provinces. The project is the third-largest hydro installation in Ecuador, but does not include a dam, instead relying on water discharged by the nearby 1,075-MW Paute. It will fulfill about 13% of Ecuador’s total need for energy while allowing the country to cut the cost of importing fossil fuels by more than $280 million per year. Studies of the physical, environmental, social, and archaeological impacts of the project were conducted by Hidropaute, a branch of CELEC administering hydroelectric operations, on an area of 1,318 hectares surrounding the project, no severe impacts are predicted. Construction began on April 26, 2011 and concluded in August 2016.</v>
      </c>
      <c r="O138" s="12">
        <f ca="1">IFERROR(__xludf.DUMMYFUNCTION("""COMPUTED_VALUE"""),40659)</f>
        <v>40659</v>
      </c>
      <c r="P138" s="6" t="str">
        <f ca="1">IFERROR(__xludf.DUMMYFUNCTION("""COMPUTED_VALUE"""),"08/00/2016")</f>
        <v>08/00/2016</v>
      </c>
      <c r="Q138" s="6" t="str">
        <f ca="1">IFERROR(__xludf.DUMMYFUNCTION("""COMPUTED_VALUE"""),"Completed")</f>
        <v>Completed</v>
      </c>
      <c r="R138" s="6" t="str">
        <f ca="1">IFERROR(__xludf.DUMMYFUNCTION("""COMPUTED_VALUE"""),"DAM")</f>
        <v>DAM</v>
      </c>
      <c r="S138" s="9" t="str">
        <f ca="1">IFERROR(__xludf.DUMMYFUNCTION("""COMPUTED_VALUE"""),"https://gist.github.com/Remy2020/156a333b3be9b0562c6db82b596e467f")</f>
        <v>https://gist.github.com/Remy2020/156a333b3be9b0562c6db82b596e467f</v>
      </c>
      <c r="T138" s="6" t="str">
        <f ca="1">IFERROR(__xludf.DUMMYFUNCTION("""COMPUTED_VALUE"""),"DAM")</f>
        <v>DAM</v>
      </c>
      <c r="U138" s="6" t="str">
        <f ca="1">IFERROR(__xludf.DUMMYFUNCTION("""COMPUTED_VALUE"""),"use google maps image to geocode
not sure the exact area that project covers. 
The current geocoded location might be supporting infrastructures, it is unsure where the power house is")</f>
        <v>use google maps image to geocode
not sure the exact area that project covers. 
The current geocoded location might be supporting infrastructures, it is unsure where the power house is</v>
      </c>
      <c r="V138" s="6" t="str">
        <f ca="1">IFERROR(__xludf.DUMMYFUNCTION("""COMPUTED_VALUE"""),"Yes (Both)")</f>
        <v>Yes (Both)</v>
      </c>
      <c r="W138" s="6" t="str">
        <f ca="1">IFERROR(__xludf.DUMMYFUNCTION("""COMPUTED_VALUE"""),"Azuay")</f>
        <v>Azuay</v>
      </c>
      <c r="X138" s="12">
        <f ca="1">IFERROR(__xludf.DUMMYFUNCTION("""COMPUTED_VALUE"""),43994)</f>
        <v>43994</v>
      </c>
      <c r="Y138" s="6" t="str">
        <f ca="1">IFERROR(__xludf.DUMMYFUNCTION("""COMPUTED_VALUE"""),"no change")</f>
        <v>no change</v>
      </c>
      <c r="Z138" s="6" t="str">
        <f ca="1">IFERROR(__xludf.DUMMYFUNCTION("""COMPUTED_VALUE"""),"-2.595396, -78.447529")</f>
        <v>-2.595396, -78.447529</v>
      </c>
      <c r="AA138" s="6"/>
      <c r="AB138" s="6"/>
      <c r="AC138" s="6"/>
      <c r="AD138" s="6"/>
      <c r="AE138" s="6"/>
      <c r="AF138" s="6"/>
      <c r="AG138" s="6"/>
    </row>
    <row r="139" spans="1:33" ht="118.8" x14ac:dyDescent="0.25">
      <c r="A139" s="6">
        <f ca="1">IFERROR(__xludf.DUMMYFUNCTION("""COMPUTED_VALUE"""),159)</f>
        <v>159</v>
      </c>
      <c r="B139" s="6">
        <f ca="1">IFERROR(__xludf.DUMMYFUNCTION("""COMPUTED_VALUE"""),14)</f>
        <v>14</v>
      </c>
      <c r="C139" s="6" t="str">
        <f ca="1">IFERROR(__xludf.DUMMYFUNCTION("""COMPUTED_VALUE"""),"Minas San Francisco Dam")</f>
        <v>Minas San Francisco Dam</v>
      </c>
      <c r="D139" s="6" t="str">
        <f ca="1">IFERROR(__xludf.DUMMYFUNCTION("""COMPUTED_VALUE"""),"CHEXIM")</f>
        <v>CHEXIM</v>
      </c>
      <c r="E139" s="6" t="str">
        <f ca="1">IFERROR(__xludf.DUMMYFUNCTION("""COMPUTED_VALUE"""),"CHEXIM")</f>
        <v>CHEXIM</v>
      </c>
      <c r="F139" s="6" t="str">
        <f ca="1">IFERROR(__xludf.DUMMYFUNCTION("""COMPUTED_VALUE"""),"Harbin Electric International, CELEC")</f>
        <v>Harbin Electric International, CELEC</v>
      </c>
      <c r="G139" s="6">
        <f ca="1">IFERROR(__xludf.DUMMYFUNCTION("""COMPUTED_VALUE"""),1.2)</f>
        <v>1.2</v>
      </c>
      <c r="H139" s="6" t="str">
        <f ca="1">IFERROR(__xludf.DUMMYFUNCTION("""COMPUTED_VALUE"""),"Energy - sustainable")</f>
        <v>Energy - sustainable</v>
      </c>
      <c r="I139" s="6" t="str">
        <f ca="1">IFERROR(__xludf.DUMMYFUNCTION("""COMPUTED_VALUE"""),"Loan")</f>
        <v>Loan</v>
      </c>
      <c r="J139" s="6" t="str">
        <f ca="1">IFERROR(__xludf.DUMMYFUNCTION("""COMPUTED_VALUE"""),"$312,400,000 USD")</f>
        <v>$312,400,000 USD</v>
      </c>
      <c r="K139" s="6" t="str">
        <f ca="1">IFERROR(__xludf.DUMMYFUNCTION("""COMPUTED_VALUE"""),"ECU")</f>
        <v>ECU</v>
      </c>
      <c r="L139" s="6" t="str">
        <f ca="1">IFERROR(__xludf.DUMMYFUNCTION("""COMPUTED_VALUE"""),"Ecuador")</f>
        <v>Ecuador</v>
      </c>
      <c r="M139" s="6" t="str">
        <f ca="1">IFERROR(__xludf.DUMMYFUNCTION("""COMPUTED_VALUE"""),"Canton Pucará (Azuay province) and the cantons Zaruma &amp; Pasaje (El Oro province), along the river Jubones")</f>
        <v>Canton Pucará (Azuay province) and the cantons Zaruma &amp; Pasaje (El Oro province), along the river Jubones</v>
      </c>
      <c r="N139" s="6" t="str">
        <f ca="1">IFERROR(__xludf.DUMMYFUNCTION("""COMPUTED_VALUE"""),"Minas-San Francisco dam is financed by China's Export-Import Bank, a state-owned enterprise, and constructed by Harbin Electric International, a private Chinese company. The dam is now operated by Ecuador's state-owned CELEC EP (this handover occurred on "&amp;"June 2, 2020). The estimated cost of the project was $509 million, but the final cost was $684 million, a 34% increase. Of this amount, EXIM loaned $312.4 million as a line of credit in 2013 with a 15 year maturity, 4 year grace period, and an interest ra"&amp;"te of LIBOR 6 months + 4.00%. The installed capacity of the plant is 275 MW, it currently operates at full capacity. Construction began in March 2012, was estimated to be completed in 2016, but was actually completed on January 15th, 2019. Environmentally"&amp;", the dam will reduce CO2 emissions by 690,000 tons annually. For interactions with the local area, the project generated 2,798 jobs and benefitted 136,000 inhabitants. Social development projects included electrification projects for public lighting, roa"&amp;"d improvements, maintenance of basic services and sanitation systems, and training in improving agricultural productivity and agricultural technical advice.  ")</f>
        <v xml:space="preserve">Minas-San Francisco dam is financed by China's Export-Import Bank, a state-owned enterprise, and constructed by Harbin Electric International, a private Chinese company. The dam is now operated by Ecuador's state-owned CELEC EP (this handover occurred on June 2, 2020). The estimated cost of the project was $509 million, but the final cost was $684 million, a 34% increase. Of this amount, EXIM loaned $312.4 million as a line of credit in 2013 with a 15 year maturity, 4 year grace period, and an interest rate of LIBOR 6 months + 4.00%. The installed capacity of the plant is 275 MW, it currently operates at full capacity. Construction began in March 2012, was estimated to be completed in 2016, but was actually completed on January 15th, 2019. Environmentally, the dam will reduce CO2 emissions by 690,000 tons annually. For interactions with the local area, the project generated 2,798 jobs and benefitted 136,000 inhabitants. Social development projects included electrification projects for public lighting, road improvements, maintenance of basic services and sanitation systems, and training in improving agricultural productivity and agricultural technical advice.  </v>
      </c>
      <c r="O139" s="6" t="str">
        <f ca="1">IFERROR(__xludf.DUMMYFUNCTION("""COMPUTED_VALUE"""),"12/00/2011")</f>
        <v>12/00/2011</v>
      </c>
      <c r="P139" s="8">
        <f ca="1">IFERROR(__xludf.DUMMYFUNCTION("""COMPUTED_VALUE"""),43480)</f>
        <v>43480</v>
      </c>
      <c r="Q139" s="6" t="str">
        <f ca="1">IFERROR(__xludf.DUMMYFUNCTION("""COMPUTED_VALUE"""),"Completed")</f>
        <v>Completed</v>
      </c>
      <c r="R139" s="6" t="str">
        <f ca="1">IFERROR(__xludf.DUMMYFUNCTION("""COMPUTED_VALUE"""),"DAM")</f>
        <v>DAM</v>
      </c>
      <c r="S139" s="9" t="str">
        <f ca="1">IFERROR(__xludf.DUMMYFUNCTION("""COMPUTED_VALUE"""),"https://gist.github.com/Remy2020/488fe13e8ae535e3c128affafb5dd243")</f>
        <v>https://gist.github.com/Remy2020/488fe13e8ae535e3c128affafb5dd243</v>
      </c>
      <c r="T139" s="6" t="str">
        <f ca="1">IFERROR(__xludf.DUMMYFUNCTION("""COMPUTED_VALUE"""),"DAM")</f>
        <v>DAM</v>
      </c>
      <c r="U139" s="6" t="str">
        <f ca="1">IFERROR(__xludf.DUMMYFUNCTION("""COMPUTED_VALUE"""),"use google map to geocode")</f>
        <v>use google map to geocode</v>
      </c>
      <c r="V139" s="6" t="str">
        <f ca="1">IFERROR(__xludf.DUMMYFUNCTION("""COMPUTED_VALUE"""),"Yes (Both)")</f>
        <v>Yes (Both)</v>
      </c>
      <c r="W139" s="6" t="str">
        <f ca="1">IFERROR(__xludf.DUMMYFUNCTION("""COMPUTED_VALUE"""),"Azuay")</f>
        <v>Azuay</v>
      </c>
      <c r="X139" s="6" t="str">
        <f ca="1">IFERROR(__xludf.DUMMYFUNCTION("""COMPUTED_VALUE"""),"08/29/2016 | 08/24/2018 | 09/01/2019 | 04/21/2020")</f>
        <v>08/29/2016 | 08/24/2018 | 09/01/2019 | 04/21/2020</v>
      </c>
      <c r="Y139" s="6" t="str">
        <f ca="1">IFERROR(__xludf.DUMMYFUNCTION("""COMPUTED_VALUE"""),"No Change")</f>
        <v>No Change</v>
      </c>
      <c r="Z139" s="6" t="str">
        <f ca="1">IFERROR(__xludf.DUMMYFUNCTION("""COMPUTED_VALUE"""),"LAT: -3.316140 LON: -79.481655")</f>
        <v>LAT: -3.316140 LON: -79.481655</v>
      </c>
      <c r="AA139" s="6"/>
      <c r="AB139" s="6"/>
      <c r="AC139" s="6"/>
      <c r="AD139" s="6"/>
      <c r="AE139" s="6"/>
      <c r="AF139" s="6"/>
      <c r="AG139" s="6"/>
    </row>
    <row r="140" spans="1:33" ht="171.6" x14ac:dyDescent="0.25">
      <c r="A140" s="6">
        <f ca="1">IFERROR(__xludf.DUMMYFUNCTION("""COMPUTED_VALUE"""),160)</f>
        <v>160</v>
      </c>
      <c r="B140" s="6">
        <f ca="1">IFERROR(__xludf.DUMMYFUNCTION("""COMPUTED_VALUE"""),16)</f>
        <v>16</v>
      </c>
      <c r="C140" s="6" t="str">
        <f ca="1">IFERROR(__xludf.DUMMYFUNCTION("""COMPUTED_VALUE"""),"Delsitanisagua Hydroelectric power plant")</f>
        <v>Delsitanisagua Hydroelectric power plant</v>
      </c>
      <c r="D140" s="6" t="str">
        <f ca="1">IFERROR(__xludf.DUMMYFUNCTION("""COMPUTED_VALUE"""),"CDB")</f>
        <v>CDB</v>
      </c>
      <c r="E140" s="6" t="str">
        <f ca="1">IFERROR(__xludf.DUMMYFUNCTION("""COMPUTED_VALUE"""),"CDB")</f>
        <v>CDB</v>
      </c>
      <c r="F140" s="6" t="str">
        <f ca="1">IFERROR(__xludf.DUMMYFUNCTION("""COMPUTED_VALUE"""),"HydroChina Corporation")</f>
        <v>HydroChina Corporation</v>
      </c>
      <c r="G140" s="6">
        <f ca="1">IFERROR(__xludf.DUMMYFUNCTION("""COMPUTED_VALUE"""),1.1)</f>
        <v>1.1000000000000001</v>
      </c>
      <c r="H140" s="6" t="str">
        <f ca="1">IFERROR(__xludf.DUMMYFUNCTION("""COMPUTED_VALUE"""),"Energy - sustainable")</f>
        <v>Energy - sustainable</v>
      </c>
      <c r="I140" s="6" t="str">
        <f ca="1">IFERROR(__xludf.DUMMYFUNCTION("""COMPUTED_VALUE"""),"Loan")</f>
        <v>Loan</v>
      </c>
      <c r="J140" s="6" t="str">
        <f ca="1">IFERROR(__xludf.DUMMYFUNCTION("""COMPUTED_VALUE"""),"USD $335,000,000")</f>
        <v>USD $335,000,000</v>
      </c>
      <c r="K140" s="6" t="str">
        <f ca="1">IFERROR(__xludf.DUMMYFUNCTION("""COMPUTED_VALUE"""),"ECU")</f>
        <v>ECU</v>
      </c>
      <c r="L140" s="6" t="str">
        <f ca="1">IFERROR(__xludf.DUMMYFUNCTION("""COMPUTED_VALUE"""),"Ecuador")</f>
        <v>Ecuador</v>
      </c>
      <c r="M140" s="6" t="str">
        <f ca="1">IFERROR(__xludf.DUMMYFUNCTION("""COMPUTED_VALUE"""),"On the Zamora river; in la parroquia Sabanilla, del canton Zamora, de la provincia Zamora Chinchipe")</f>
        <v>On the Zamora river; in la parroquia Sabanilla, del canton Zamora, de la provincia Zamora Chinchipe</v>
      </c>
      <c r="N140" s="6" t="str">
        <f ca="1">IFERROR(__xludf.DUMMYFUNCTION("""COMPUTED_VALUE"""),"In 2011, financed by China Development Bank (CDB), construction began on the Delsitiansagua dam by HydroChina. Upon completion in December 2018, over two years behind schedule, the dam produces its full capacity of 180 MW of power daily. The project was i"&amp;"nitially estimated to cost $195 million USD, but actually cost $335 million USD, a 55% increase. This cost increase violates Ecuadorian law which restricts estimated project costs to stay within 35% of the amount dictated by the original contract. Delays "&amp;"and price increases are partially due to technical and legal issues, including geotechnical problems with the original project location. The project seeks minimize negative impacts of energy generation on the climate; it will allow Ecuador to reduce CO2 e"&amp;"missions by 716,000 tons annually and the majority of water processed circulates gradually (as opposed to all of the water being dammed). The dam has halted operation multiple times, including in May 2020, to clean the reservoir due to sediment accumulati"&amp;"on. In terms of socioeconomic impact, the construction of the dam generated 1400 jobs, 71% of which were designated for locals. The dam has been accompanied by a community development initiative which has expanded rural electric power networks to benefit "&amp;"1606 individuals, 3 potable water systems, 129 basic sanitary units to benefit 408 inhabitants, a wastewater treatment plant to benefit 200 inhabitants, the construction of a communal house to benefit 195 inhabitants, and multiple economic training progra"&amp;"ms to strengthen the capacity of local communities.")</f>
        <v>In 2011, financed by China Development Bank (CDB), construction began on the Delsitiansagua dam by HydroChina. Upon completion in December 2018, over two years behind schedule, the dam produces its full capacity of 180 MW of power daily. The project was initially estimated to cost $195 million USD, but actually cost $335 million USD, a 55% increase. This cost increase violates Ecuadorian law which restricts estimated project costs to stay within 35% of the amount dictated by the original contract. Delays and price increases are partially due to technical and legal issues, including geotechnical problems with the original project location. The project seeks minimize negative impacts of energy generation on the climate; it will allow Ecuador to reduce CO2 emissions by 716,000 tons annually and the majority of water processed circulates gradually (as opposed to all of the water being dammed). The dam has halted operation multiple times, including in May 2020, to clean the reservoir due to sediment accumulation. In terms of socioeconomic impact, the construction of the dam generated 1400 jobs, 71% of which were designated for locals. The dam has been accompanied by a community development initiative which has expanded rural electric power networks to benefit 1606 individuals, 3 potable water systems, 129 basic sanitary units to benefit 408 inhabitants, a wastewater treatment plant to benefit 200 inhabitants, the construction of a communal house to benefit 195 inhabitants, and multiple economic training programs to strengthen the capacity of local communities.</v>
      </c>
      <c r="O140" s="15">
        <f ca="1">IFERROR(__xludf.DUMMYFUNCTION("""COMPUTED_VALUE"""),40878)</f>
        <v>40878</v>
      </c>
      <c r="P140" s="8">
        <f ca="1">IFERROR(__xludf.DUMMYFUNCTION("""COMPUTED_VALUE"""),43455)</f>
        <v>43455</v>
      </c>
      <c r="Q140" s="6" t="str">
        <f ca="1">IFERROR(__xludf.DUMMYFUNCTION("""COMPUTED_VALUE"""),"Completed")</f>
        <v>Completed</v>
      </c>
      <c r="R140" s="6" t="str">
        <f ca="1">IFERROR(__xludf.DUMMYFUNCTION("""COMPUTED_VALUE"""),"DAM")</f>
        <v>DAM</v>
      </c>
      <c r="S140" s="9" t="str">
        <f ca="1">IFERROR(__xludf.DUMMYFUNCTION("""COMPUTED_VALUE"""),"https://gist.github.com/Remy2020/79eb6c6f1cd157d902e03a142a55569a")</f>
        <v>https://gist.github.com/Remy2020/79eb6c6f1cd157d902e03a142a55569a</v>
      </c>
      <c r="T140" s="6" t="str">
        <f ca="1">IFERROR(__xludf.DUMMYFUNCTION("""COMPUTED_VALUE"""),"DAM")</f>
        <v>DAM</v>
      </c>
      <c r="U140" s="6" t="str">
        <f ca="1">IFERROR(__xludf.DUMMYFUNCTION("""COMPUTED_VALUE"""),"use google map images to geocode.
The main construction site is at the bottom, the two upper parts are possbily other infrastructures/deforestation")</f>
        <v>use google map images to geocode.
The main construction site is at the bottom, the two upper parts are possbily other infrastructures/deforestation</v>
      </c>
      <c r="V140" s="6" t="str">
        <f ca="1">IFERROR(__xludf.DUMMYFUNCTION("""COMPUTED_VALUE"""),"Yes (Both)")</f>
        <v>Yes (Both)</v>
      </c>
      <c r="W140" s="6" t="str">
        <f ca="1">IFERROR(__xludf.DUMMYFUNCTION("""COMPUTED_VALUE"""),"Zamora Chinchipe")</f>
        <v>Zamora Chinchipe</v>
      </c>
      <c r="X140" s="6" t="str">
        <f ca="1">IFERROR(__xludf.DUMMYFUNCTION("""COMPUTED_VALUE"""),"12/05/2018 | 05/28/2020")</f>
        <v>12/05/2018 | 05/28/2020</v>
      </c>
      <c r="Y140" s="6" t="str">
        <f ca="1">IFERROR(__xludf.DUMMYFUNCTION("""COMPUTED_VALUE"""),"No Change")</f>
        <v>No Change</v>
      </c>
      <c r="Z140" s="6" t="str">
        <f ca="1">IFERROR(__xludf.DUMMYFUNCTION("""COMPUTED_VALUE"""),"LAT: -4.033765 LON: -78.983466")</f>
        <v>LAT: -4.033765 LON: -78.983466</v>
      </c>
      <c r="AA140" s="6"/>
      <c r="AB140" s="6"/>
      <c r="AC140" s="6"/>
      <c r="AD140" s="6"/>
      <c r="AE140" s="6"/>
      <c r="AF140" s="6"/>
      <c r="AG140" s="6"/>
    </row>
    <row r="141" spans="1:33" ht="105.6" x14ac:dyDescent="0.25">
      <c r="A141" s="6">
        <f ca="1">IFERROR(__xludf.DUMMYFUNCTION("""COMPUTED_VALUE"""),161)</f>
        <v>161</v>
      </c>
      <c r="B141" s="6">
        <f ca="1">IFERROR(__xludf.DUMMYFUNCTION("""COMPUTED_VALUE"""),4)</f>
        <v>4</v>
      </c>
      <c r="C141" s="6" t="str">
        <f ca="1">IFERROR(__xludf.DUMMYFUNCTION("""COMPUTED_VALUE"""),"Cañar and Naranjal flood control project")</f>
        <v>Cañar and Naranjal flood control project</v>
      </c>
      <c r="D141" s="6" t="str">
        <f ca="1">IFERROR(__xludf.DUMMYFUNCTION("""COMPUTED_VALUE"""),"Other Institution")</f>
        <v>Other Institution</v>
      </c>
      <c r="E141" s="6" t="str">
        <f ca="1">IFERROR(__xludf.DUMMYFUNCTION("""COMPUTED_VALUE"""),"Bank of China (BOC) and Deutsche Bank (China)")</f>
        <v>Bank of China (BOC) and Deutsche Bank (China)</v>
      </c>
      <c r="F141" s="6" t="str">
        <f ca="1">IFERROR(__xludf.DUMMYFUNCTION("""COMPUTED_VALUE"""),"China International Water &amp; Electric Corporation (CWE) and Senagua")</f>
        <v>China International Water &amp; Electric Corporation (CWE) and Senagua</v>
      </c>
      <c r="G141" s="6">
        <f ca="1">IFERROR(__xludf.DUMMYFUNCTION("""COMPUTED_VALUE"""),1.3)</f>
        <v>1.3</v>
      </c>
      <c r="H141" s="6" t="str">
        <f ca="1">IFERROR(__xludf.DUMMYFUNCTION("""COMPUTED_VALUE"""),"Energy - sustainable")</f>
        <v>Energy - sustainable</v>
      </c>
      <c r="I141" s="6" t="str">
        <f ca="1">IFERROR(__xludf.DUMMYFUNCTION("""COMPUTED_VALUE"""),"Loan")</f>
        <v>Loan</v>
      </c>
      <c r="J141" s="6" t="str">
        <f ca="1">IFERROR(__xludf.DUMMYFUNCTION("""COMPUTED_VALUE"""),"$298.9 million ")</f>
        <v xml:space="preserve">$298.9 million </v>
      </c>
      <c r="K141" s="6" t="str">
        <f ca="1">IFERROR(__xludf.DUMMYFUNCTION("""COMPUTED_VALUE"""),"ECU")</f>
        <v>ECU</v>
      </c>
      <c r="L141" s="6" t="str">
        <f ca="1">IFERROR(__xludf.DUMMYFUNCTION("""COMPUTED_VALUE"""),"Ecuador")</f>
        <v>Ecuador</v>
      </c>
      <c r="M141" s="6" t="str">
        <f ca="1">IFERROR(__xludf.DUMMYFUNCTION("""COMPUTED_VALUE"""),"Cañar and Naranjal rivers ")</f>
        <v xml:space="preserve">Cañar and Naranjal rivers </v>
      </c>
      <c r="N141" s="6" t="str">
        <f ca="1">IFERROR(__xludf.DUMMYFUNCTION("""COMPUTED_VALUE"""),"The Cañar and Naranjal flood control projects are financed by the Bank of China (state-owned) and Deutsche Bank (China) (a private company). The project is implemented by CWE (state-owned) and Senagua (an Ecuadorian state-owned company). Signed on July 24"&amp;"th,  2013, the USD $298.9 million loan stretches over a 14 year period with a 4 year grace period and an interest rate of LIBOR 6 months +3.50%. The project was completed on January 12, 2016 and is estimated to protect over 150,000 people and USD $105 mil"&amp;"lion in crops annually. Construction included 23km long canal, a diversion dam, 2 bridges, and rehabilitated 4 bridges. Diverted river water will funnel through 8 Chinese turbines and is estimated to generate enough electricity to power 1/3 of Ecuador. Th"&amp;"ese are two separate projects but all the literature on them is grouped together (in terms of financing details, construction timeline, etc.). Thus, I made the decision to list them as one activity.")</f>
        <v>The Cañar and Naranjal flood control projects are financed by the Bank of China (state-owned) and Deutsche Bank (China) (a private company). The project is implemented by CWE (state-owned) and Senagua (an Ecuadorian state-owned company). Signed on July 24th,  2013, the USD $298.9 million loan stretches over a 14 year period with a 4 year grace period and an interest rate of LIBOR 6 months +3.50%. The project was completed on January 12, 2016 and is estimated to protect over 150,000 people and USD $105 million in crops annually. Construction included 23km long canal, a diversion dam, 2 bridges, and rehabilitated 4 bridges. Diverted river water will funnel through 8 Chinese turbines and is estimated to generate enough electricity to power 1/3 of Ecuador. These are two separate projects but all the literature on them is grouped together (in terms of financing details, construction timeline, etc.). Thus, I made the decision to list them as one activity.</v>
      </c>
      <c r="O141" s="8">
        <f ca="1">IFERROR(__xludf.DUMMYFUNCTION("""COMPUTED_VALUE"""),41479)</f>
        <v>41479</v>
      </c>
      <c r="P141" s="8">
        <f ca="1">IFERROR(__xludf.DUMMYFUNCTION("""COMPUTED_VALUE"""),42381)</f>
        <v>42381</v>
      </c>
      <c r="Q141" s="6" t="str">
        <f ca="1">IFERROR(__xludf.DUMMYFUNCTION("""COMPUTED_VALUE"""),"Completed")</f>
        <v>Completed</v>
      </c>
      <c r="R141" s="6" t="str">
        <f ca="1">IFERROR(__xludf.DUMMYFUNCTION("""COMPUTED_VALUE"""),"DAM")</f>
        <v>DAM</v>
      </c>
      <c r="S141" s="9" t="str">
        <f ca="1">IFERROR(__xludf.DUMMYFUNCTION("""COMPUTED_VALUE"""),"https://gist.github.com/Remy2020/51577f4edb99fbf44c0a3e38964d3ce3")</f>
        <v>https://gist.github.com/Remy2020/51577f4edb99fbf44c0a3e38964d3ce3</v>
      </c>
      <c r="T141" s="6" t="str">
        <f ca="1">IFERROR(__xludf.DUMMYFUNCTION("""COMPUTED_VALUE"""),"DAM")</f>
        <v>DAM</v>
      </c>
      <c r="U141" s="6" t="str">
        <f ca="1">IFERROR(__xludf.DUMMYFUNCTION("""COMPUTED_VALUE"""),"use google map images to geocode
not sure the exact area this project covers")</f>
        <v>use google map images to geocode
not sure the exact area this project covers</v>
      </c>
      <c r="V141" s="6"/>
      <c r="W141" s="6" t="str">
        <f ca="1">IFERROR(__xludf.DUMMYFUNCTION("""COMPUTED_VALUE"""),"Cañar")</f>
        <v>Cañar</v>
      </c>
      <c r="X141" s="6" t="str">
        <f ca="1">IFERROR(__xludf.DUMMYFUNCTION("""COMPUTED_VALUE"""),"01/07/2018 | 05/17/2019 | 01/09/2020")</f>
        <v>01/07/2018 | 05/17/2019 | 01/09/2020</v>
      </c>
      <c r="Y141" s="6" t="str">
        <f ca="1">IFERROR(__xludf.DUMMYFUNCTION("""COMPUTED_VALUE"""),"Some changes in the geography but not much")</f>
        <v>Some changes in the geography but not much</v>
      </c>
      <c r="Z141" s="6" t="str">
        <f ca="1">IFERROR(__xludf.DUMMYFUNCTION("""COMPUTED_VALUE"""),"LAT: -2.500278 LON: -79.452464")</f>
        <v>LAT: -2.500278 LON: -79.452464</v>
      </c>
      <c r="AA141" s="6"/>
      <c r="AB141" s="6"/>
      <c r="AC141" s="6"/>
      <c r="AD141" s="6"/>
      <c r="AE141" s="6"/>
      <c r="AF141" s="6"/>
      <c r="AG141" s="6"/>
    </row>
    <row r="142" spans="1:33" ht="198" x14ac:dyDescent="0.25">
      <c r="A142" s="6">
        <f ca="1">IFERROR(__xludf.DUMMYFUNCTION("""COMPUTED_VALUE"""),162)</f>
        <v>162</v>
      </c>
      <c r="B142" s="6">
        <f ca="1">IFERROR(__xludf.DUMMYFUNCTION("""COMPUTED_VALUE"""),6)</f>
        <v>6</v>
      </c>
      <c r="C142" s="6" t="str">
        <f ca="1">IFERROR(__xludf.DUMMYFUNCTION("""COMPUTED_VALUE"""),"El Bala Hydroelectric Power Plant")</f>
        <v>El Bala Hydroelectric Power Plant</v>
      </c>
      <c r="D142" s="6" t="str">
        <f ca="1">IFERROR(__xludf.DUMMYFUNCTION("""COMPUTED_VALUE"""),"Other Institution")</f>
        <v>Other Institution</v>
      </c>
      <c r="E142" s="6" t="str">
        <f ca="1">IFERROR(__xludf.DUMMYFUNCTION("""COMPUTED_VALUE"""),"Vague")</f>
        <v>Vague</v>
      </c>
      <c r="F142" s="6" t="str">
        <f ca="1">IFERROR(__xludf.DUMMYFUNCTION("""COMPUTED_VALUE"""),"National Electricity Company (ENDE)")</f>
        <v>National Electricity Company (ENDE)</v>
      </c>
      <c r="G142" s="6">
        <f ca="1">IFERROR(__xludf.DUMMYFUNCTION("""COMPUTED_VALUE"""),5)</f>
        <v>5</v>
      </c>
      <c r="H142" s="6" t="str">
        <f ca="1">IFERROR(__xludf.DUMMYFUNCTION("""COMPUTED_VALUE"""),"Energy - sustainable")</f>
        <v>Energy - sustainable</v>
      </c>
      <c r="I142" s="6" t="str">
        <f ca="1">IFERROR(__xludf.DUMMYFUNCTION("""COMPUTED_VALUE"""),"Vague")</f>
        <v>Vague</v>
      </c>
      <c r="J142" s="6" t="str">
        <f ca="1">IFERROR(__xludf.DUMMYFUNCTION("""COMPUTED_VALUE"""),"N/A")</f>
        <v>N/A</v>
      </c>
      <c r="K142" s="6" t="str">
        <f ca="1">IFERROR(__xludf.DUMMYFUNCTION("""COMPUTED_VALUE"""),"BOL")</f>
        <v>BOL</v>
      </c>
      <c r="L142" s="6" t="str">
        <f ca="1">IFERROR(__xludf.DUMMYFUNCTION("""COMPUTED_VALUE"""),"Bolivia")</f>
        <v>Bolivia</v>
      </c>
      <c r="M142" s="6" t="str">
        <f ca="1">IFERROR(__xludf.DUMMYFUNCTION("""COMPUTED_VALUE"""),"In the Amazon between Madidi National Park and the Pilon Lajas Biosphere Reserve in Boliiva.")</f>
        <v>In the Amazon between Madidi National Park and the Pilon Lajas Biosphere Reserve in Boliiva.</v>
      </c>
      <c r="N142" s="6" t="str">
        <f ca="1">IFERROR(__xludf.DUMMYFUNCTION("""COMPUTED_VALUE"""),"This project includes the construction of the El Bala hydropower dam on the Beni River in the Amazon of Bolivia. It is proposed to be completed over the next 10-15 years and is expected to have a capacity to generate 1600 MW of hydropower electricity. It "&amp;"was given national priority in 2007 and was expected to begin construction in 2019. However, a series of setbacks and controversies delayed the project; thus, the current construction status is unknown. The project, which includes the El Bala and Chepete "&amp;"dams, has had major backlash over the location of the projects, and the impact on the communities and environment around them. Around 4,000 inhabitants of indigenous Amazonian communities will need to be displaced from the land. The affected zone for the "&amp;"dam also includes portions of the Pilón Largas and Madidi National Parks, which are some of the world's most biodiverse regions and house thousands of rare animal and plant species. Opponents of the hydroelectric power plants argue that the projects would"&amp;" disrupt the biodiversity and release enormous amounts of greenhouse and toxic methane gase, accelerating climate change throughout Bolivia and the region. Critics also say that the environmental impacts will decrease tourism, potentially greatly harming "&amp;"the toursim-focused economy in the area. There have been various protests against the project's construction, including one in November 2016 when representatives of 17 indigenous communities heald a vigil at the site of the dams and blocked access to the "&amp;"site by GeoData ( the Italian firm hired by Bolivia's government to study the feasibility of the dams). This protest was deemed successful after GeoData's engineers withdrew their equipment after 12 days of the block, citing a lack of community consensus "&amp;"for the dam as their reasoning. It is unclear who is funding and implementing the dam.")</f>
        <v>This project includes the construction of the El Bala hydropower dam on the Beni River in the Amazon of Bolivia. It is proposed to be completed over the next 10-15 years and is expected to have a capacity to generate 1600 MW of hydropower electricity. It was given national priority in 2007 and was expected to begin construction in 2019. However, a series of setbacks and controversies delayed the project; thus, the current construction status is unknown. The project, which includes the El Bala and Chepete dams, has had major backlash over the location of the projects, and the impact on the communities and environment around them. Around 4,000 inhabitants of indigenous Amazonian communities will need to be displaced from the land. The affected zone for the dam also includes portions of the Pilón Largas and Madidi National Parks, which are some of the world's most biodiverse regions and house thousands of rare animal and plant species. Opponents of the hydroelectric power plants argue that the projects would disrupt the biodiversity and release enormous amounts of greenhouse and toxic methane gase, accelerating climate change throughout Bolivia and the region. Critics also say that the environmental impacts will decrease tourism, potentially greatly harming the toursim-focused economy in the area. There have been various protests against the project's construction, including one in November 2016 when representatives of 17 indigenous communities heald a vigil at the site of the dams and blocked access to the site by GeoData ( the Italian firm hired by Bolivia's government to study the feasibility of the dams). This protest was deemed successful after GeoData's engineers withdrew their equipment after 12 days of the block, citing a lack of community consensus for the dam as their reasoning. It is unclear who is funding and implementing the dam.</v>
      </c>
      <c r="O142" s="6" t="str">
        <f ca="1">IFERROR(__xludf.DUMMYFUNCTION("""COMPUTED_VALUE"""),"00/00/2007")</f>
        <v>00/00/2007</v>
      </c>
      <c r="P142" s="6" t="str">
        <f ca="1">IFERROR(__xludf.DUMMYFUNCTION("""COMPUTED_VALUE"""),"N/A")</f>
        <v>N/A</v>
      </c>
      <c r="Q142" s="6" t="str">
        <f ca="1">IFERROR(__xludf.DUMMYFUNCTION("""COMPUTED_VALUE"""),"Delayed")</f>
        <v>Delayed</v>
      </c>
      <c r="R142" s="6" t="str">
        <f ca="1">IFERROR(__xludf.DUMMYFUNCTION("""COMPUTED_VALUE"""),"DAM")</f>
        <v>DAM</v>
      </c>
      <c r="S142" s="9" t="str">
        <f ca="1">IFERROR(__xludf.DUMMYFUNCTION("""COMPUTED_VALUE"""),"https://gist.github.com/ysun15/592b23dfd2544fa4d0c4f0301daa72bb")</f>
        <v>https://gist.github.com/ysun15/592b23dfd2544fa4d0c4f0301daa72bb</v>
      </c>
      <c r="T142" s="6" t="str">
        <f ca="1">IFERROR(__xludf.DUMMYFUNCTION("""COMPUTED_VALUE"""),"DAM")</f>
        <v>DAM</v>
      </c>
      <c r="U142" s="6" t="str">
        <f ca="1">IFERROR(__xludf.DUMMYFUNCTION("""COMPUTED_VALUE"""),"use google map image to geocode.
The project is delayed and incompleted, so it is not sure the exact area that project covers")</f>
        <v>use google map image to geocode.
The project is delayed and incompleted, so it is not sure the exact area that project covers</v>
      </c>
      <c r="V142" s="6" t="str">
        <f ca="1">IFERROR(__xludf.DUMMYFUNCTION("""COMPUTED_VALUE"""),"Yes (Regional)")</f>
        <v>Yes (Regional)</v>
      </c>
      <c r="W142" s="6" t="str">
        <f ca="1">IFERROR(__xludf.DUMMYFUNCTION("""COMPUTED_VALUE"""),"Beni")</f>
        <v>Beni</v>
      </c>
      <c r="X142" s="6"/>
      <c r="Y142" s="6"/>
      <c r="Z142" s="6"/>
      <c r="AA142" s="6"/>
      <c r="AB142" s="6"/>
      <c r="AC142" s="6"/>
      <c r="AD142" s="6"/>
      <c r="AE142" s="6"/>
      <c r="AF142" s="6"/>
      <c r="AG142" s="6"/>
    </row>
    <row r="143" spans="1:33" ht="171.6" x14ac:dyDescent="0.25">
      <c r="A143" s="6">
        <f ca="1">IFERROR(__xludf.DUMMYFUNCTION("""COMPUTED_VALUE"""),163)</f>
        <v>163</v>
      </c>
      <c r="B143" s="6">
        <f ca="1">IFERROR(__xludf.DUMMYFUNCTION("""COMPUTED_VALUE"""),4)</f>
        <v>4</v>
      </c>
      <c r="C143" s="6" t="str">
        <f ca="1">IFERROR(__xludf.DUMMYFUNCTION("""COMPUTED_VALUE"""),"Rucalhue Hydropower Project")</f>
        <v>Rucalhue Hydropower Project</v>
      </c>
      <c r="D143" s="6" t="str">
        <f ca="1">IFERROR(__xludf.DUMMYFUNCTION("""COMPUTED_VALUE"""),"Other Chinese Institution")</f>
        <v>Other Chinese Institution</v>
      </c>
      <c r="E143" s="6" t="str">
        <f ca="1">IFERROR(__xludf.DUMMYFUNCTION("""COMPUTED_VALUE"""),"China Three Gorges (CTG)")</f>
        <v>China Three Gorges (CTG)</v>
      </c>
      <c r="F143" s="6" t="str">
        <f ca="1">IFERROR(__xludf.DUMMYFUNCTION("""COMPUTED_VALUE"""),"China Three Gorges Corporation (CTG) through its acquisition of Chile's Atiaia Energia, InvestChile")</f>
        <v>China Three Gorges Corporation (CTG) through its acquisition of Chile's Atiaia Energia, InvestChile</v>
      </c>
      <c r="G143" s="6">
        <f ca="1">IFERROR(__xludf.DUMMYFUNCTION("""COMPUTED_VALUE"""),1.3)</f>
        <v>1.3</v>
      </c>
      <c r="H143" s="6" t="str">
        <f ca="1">IFERROR(__xludf.DUMMYFUNCTION("""COMPUTED_VALUE"""),"Energy - sustainable")</f>
        <v>Energy - sustainable</v>
      </c>
      <c r="I143" s="6" t="str">
        <f ca="1">IFERROR(__xludf.DUMMYFUNCTION("""COMPUTED_VALUE"""),"Investment")</f>
        <v>Investment</v>
      </c>
      <c r="J143" s="7" t="str">
        <f ca="1">IFERROR(__xludf.DUMMYFUNCTION("""COMPUTED_VALUE"""),"USD $240,000,000")</f>
        <v>USD $240,000,000</v>
      </c>
      <c r="K143" s="6" t="str">
        <f ca="1">IFERROR(__xludf.DUMMYFUNCTION("""COMPUTED_VALUE"""),"CHL")</f>
        <v>CHL</v>
      </c>
      <c r="L143" s="6" t="str">
        <f ca="1">IFERROR(__xludf.DUMMYFUNCTION("""COMPUTED_VALUE"""),"Chile")</f>
        <v>Chile</v>
      </c>
      <c r="M143" s="6" t="str">
        <f ca="1">IFERROR(__xludf.DUMMYFUNCTION("""COMPUTED_VALUE"""),"Rucalhue, in the Biobío Region of Chile, 50km south of the city of Los Ángeles,")</f>
        <v>Rucalhue, in the Biobío Region of Chile, 50km south of the city of Los Ángeles,</v>
      </c>
      <c r="N143" s="6" t="str">
        <f ca="1">IFERROR(__xludf.DUMMYFUNCTION("""COMPUTED_VALUE"""),"This project is expected to produce 90MW of energy for Chile. It will be implemented by China's Three Gorges, a Chinese state-owned company, after CTG's acquisition of Chile's Atiaia Energia company which was constructed the project. The Rucalhue hydro pl"&amp;"ant is expected to produce around 465GWh/y for Chile's sentral power grid and supply power to around 143,000 people. Construction was expected to begin at the end of 2015, cost about $240,000,000 million USD, and take around 30 months to complete, though "&amp;"the current state of the dam is unclear as of 2020. The dam is part of a push by Chile's government to increase the proportion of sustainable energy in the country. However, it comes among social backlash from Chileans.")</f>
        <v>This project is expected to produce 90MW of energy for Chile. It will be implemented by China's Three Gorges, a Chinese state-owned company, after CTG's acquisition of Chile's Atiaia Energia company which was constructed the project. The Rucalhue hydro plant is expected to produce around 465GWh/y for Chile's sentral power grid and supply power to around 143,000 people. Construction was expected to begin at the end of 2015, cost about $240,000,000 million USD, and take around 30 months to complete, though the current state of the dam is unclear as of 2020. The dam is part of a push by Chile's government to increase the proportion of sustainable energy in the country. However, it comes among social backlash from Chileans.</v>
      </c>
      <c r="O143" s="6" t="str">
        <f ca="1">IFERROR(__xludf.DUMMYFUNCTION("""COMPUTED_VALUE"""),"00/00/2015")</f>
        <v>00/00/2015</v>
      </c>
      <c r="P143" s="6" t="str">
        <f ca="1">IFERROR(__xludf.DUMMYFUNCTION("""COMPUTED_VALUE"""),"N/A")</f>
        <v>N/A</v>
      </c>
      <c r="Q143" s="6" t="str">
        <f ca="1">IFERROR(__xludf.DUMMYFUNCTION("""COMPUTED_VALUE"""),"Under construction - unknown")</f>
        <v>Under construction - unknown</v>
      </c>
      <c r="R143" s="6" t="str">
        <f ca="1">IFERROR(__xludf.DUMMYFUNCTION("""COMPUTED_VALUE"""),"DAM")</f>
        <v>DAM</v>
      </c>
      <c r="S143" s="9" t="str">
        <f ca="1">IFERROR(__xludf.DUMMYFUNCTION("""COMPUTED_VALUE"""),"https://gist.github.com/ysun15/c5a6440d42d1700bb2ee15de5005727d")</f>
        <v>https://gist.github.com/ysun15/c5a6440d42d1700bb2ee15de5005727d</v>
      </c>
      <c r="T143" s="6" t="str">
        <f ca="1">IFERROR(__xludf.DUMMYFUNCTION("""COMPUTED_VALUE"""),"DAM")</f>
        <v>DAM</v>
      </c>
      <c r="U143" s="6" t="str">
        <f ca="1">IFERROR(__xludf.DUMMYFUNCTION("""COMPUTED_VALUE"""),"according to https://www.revistaei.cl/2019/01/24/proyecto-hidroelectrico-rucalhue-rio-bio-bio-vecinos-estudian-presentar-recurso-proteccion/# the project is located between the Quilaco and Santa Bárbara communes, the geocoded location is likely to the con"&amp;"struction site.
But acccording to https://www.zawya.com/mena/en/project/170320040710/90-mw-rucalhue-hydropower-station-project/ the construction was expected to start on September 2020, so there is little construction sign. ")</f>
        <v xml:space="preserve">according to https://www.revistaei.cl/2019/01/24/proyecto-hidroelectrico-rucalhue-rio-bio-bio-vecinos-estudian-presentar-recurso-proteccion/# the project is located between the Quilaco and Santa Bárbara communes, the geocoded location is likely to the construction site.
But acccording to https://www.zawya.com/mena/en/project/170320040710/90-mw-rucalhue-hydropower-station-project/ the construction was expected to start on September 2020, so there is little construction sign. </v>
      </c>
      <c r="V143" s="6" t="str">
        <f ca="1">IFERROR(__xludf.DUMMYFUNCTION("""COMPUTED_VALUE"""),"Yes (Both)")</f>
        <v>Yes (Both)</v>
      </c>
      <c r="W143" s="6" t="str">
        <f ca="1">IFERROR(__xludf.DUMMYFUNCTION("""COMPUTED_VALUE"""),"Biobío")</f>
        <v>Biobío</v>
      </c>
      <c r="X143" s="6"/>
      <c r="Y143" s="6"/>
      <c r="Z143" s="6"/>
      <c r="AA143" s="6"/>
      <c r="AB143" s="6"/>
      <c r="AC143" s="6"/>
      <c r="AD143" s="6"/>
      <c r="AE143" s="6"/>
      <c r="AF143" s="6"/>
      <c r="AG143" s="6"/>
    </row>
    <row r="144" spans="1:33" ht="52.8" x14ac:dyDescent="0.25">
      <c r="A144" s="6">
        <f ca="1">IFERROR(__xludf.DUMMYFUNCTION("""COMPUTED_VALUE"""),164)</f>
        <v>164</v>
      </c>
      <c r="B144" s="6">
        <f ca="1">IFERROR(__xludf.DUMMYFUNCTION("""COMPUTED_VALUE"""),2)</f>
        <v>2</v>
      </c>
      <c r="C144" s="6" t="str">
        <f ca="1">IFERROR(__xludf.DUMMYFUNCTION("""COMPUTED_VALUE"""),"Lukaiwei Hydropower Project")</f>
        <v>Lukaiwei Hydropower Project</v>
      </c>
      <c r="D144" s="6" t="str">
        <f ca="1">IFERROR(__xludf.DUMMYFUNCTION("""COMPUTED_VALUE"""),"Other Institution")</f>
        <v>Other Institution</v>
      </c>
      <c r="E144" s="6" t="str">
        <f ca="1">IFERROR(__xludf.DUMMYFUNCTION("""COMPUTED_VALUE"""),"Self-funded by project owner Chilean Rukaiwei Energy Company")</f>
        <v>Self-funded by project owner Chilean Rukaiwei Energy Company</v>
      </c>
      <c r="F144" s="6" t="str">
        <f ca="1">IFERROR(__xludf.DUMMYFUNCTION("""COMPUTED_VALUE"""),"China's Three Gorges International Tendering Co. Ltd")</f>
        <v>China's Three Gorges International Tendering Co. Ltd</v>
      </c>
      <c r="G144" s="6">
        <f ca="1">IFERROR(__xludf.DUMMYFUNCTION("""COMPUTED_VALUE"""),3)</f>
        <v>3</v>
      </c>
      <c r="H144" s="6" t="str">
        <f ca="1">IFERROR(__xludf.DUMMYFUNCTION("""COMPUTED_VALUE"""),"Energy - sustainable")</f>
        <v>Energy - sustainable</v>
      </c>
      <c r="I144" s="6" t="str">
        <f ca="1">IFERROR(__xludf.DUMMYFUNCTION("""COMPUTED_VALUE"""),"Vague")</f>
        <v>Vague</v>
      </c>
      <c r="J144" s="7" t="str">
        <f ca="1">IFERROR(__xludf.DUMMYFUNCTION("""COMPUTED_VALUE"""),"N/A")</f>
        <v>N/A</v>
      </c>
      <c r="K144" s="6" t="str">
        <f ca="1">IFERROR(__xludf.DUMMYFUNCTION("""COMPUTED_VALUE"""),"CHL")</f>
        <v>CHL</v>
      </c>
      <c r="L144" s="6" t="str">
        <f ca="1">IFERROR(__xludf.DUMMYFUNCTION("""COMPUTED_VALUE"""),"Chile")</f>
        <v>Chile</v>
      </c>
      <c r="M144" s="6" t="str">
        <f ca="1">IFERROR(__xludf.DUMMYFUNCTION("""COMPUTED_VALUE"""),"On the Biobío River in south-central Chile")</f>
        <v>On the Biobío River in south-central Chile</v>
      </c>
      <c r="N144" s="6" t="str">
        <f ca="1">IFERROR(__xludf.DUMMYFUNCTION("""COMPUTED_VALUE"""),"The Lukaiwei Hydropower plant is a project in South-Central Chile. It is a runoff hydropower station expected to have an intalled capacity of 90MW. On May 11th, 2020, China's Three Gorges International Tendering Co. Ltd. won the bid for the design, procur"&amp;"ement, and construction of the hydropower station. The owner of the project, Chilean company Rukaiwei Energy, self-raised the funding for the plant. It is expected to have a project period of 37 months. ")</f>
        <v xml:space="preserve">The Lukaiwei Hydropower plant is a project in South-Central Chile. It is a runoff hydropower station expected to have an intalled capacity of 90MW. On May 11th, 2020, China's Three Gorges International Tendering Co. Ltd. won the bid for the design, procurement, and construction of the hydropower station. The owner of the project, Chilean company Rukaiwei Energy, self-raised the funding for the plant. It is expected to have a project period of 37 months. </v>
      </c>
      <c r="O144" s="12">
        <f ca="1">IFERROR(__xludf.DUMMYFUNCTION("""COMPUTED_VALUE"""),43962)</f>
        <v>43962</v>
      </c>
      <c r="P144" s="6" t="str">
        <f ca="1">IFERROR(__xludf.DUMMYFUNCTION("""COMPUTED_VALUE"""),"N/A")</f>
        <v>N/A</v>
      </c>
      <c r="Q144" s="6" t="str">
        <f ca="1">IFERROR(__xludf.DUMMYFUNCTION("""COMPUTED_VALUE"""),"Proposed - formal")</f>
        <v>Proposed - formal</v>
      </c>
      <c r="R144" s="6" t="str">
        <f ca="1">IFERROR(__xludf.DUMMYFUNCTION("""COMPUTED_VALUE"""),"DAM")</f>
        <v>DAM</v>
      </c>
      <c r="S144" s="6" t="str">
        <f ca="1">IFERROR(__xludf.DUMMYFUNCTION("""COMPUTED_VALUE"""),"CHL-ADM2-3_0_0-B16")</f>
        <v>CHL-ADM2-3_0_0-B16</v>
      </c>
      <c r="T144" s="6" t="str">
        <f ca="1">IFERROR(__xludf.DUMMYFUNCTION("""COMPUTED_VALUE"""),"ADM3")</f>
        <v>ADM3</v>
      </c>
      <c r="U144" s="6" t="str">
        <f ca="1">IFERROR(__xludf.DUMMYFUNCTION("""COMPUTED_VALUE"""),"Coded up to the ADMI2")</f>
        <v>Coded up to the ADMI2</v>
      </c>
      <c r="V144" s="6" t="str">
        <f ca="1">IFERROR(__xludf.DUMMYFUNCTION("""COMPUTED_VALUE"""),"Yes (Both)")</f>
        <v>Yes (Both)</v>
      </c>
      <c r="W144" s="6" t="str">
        <f ca="1">IFERROR(__xludf.DUMMYFUNCTION("""COMPUTED_VALUE"""),"Biobío")</f>
        <v>Biobío</v>
      </c>
      <c r="X144" s="6"/>
      <c r="Y144" s="6"/>
      <c r="Z144" s="6"/>
      <c r="AA144" s="6"/>
      <c r="AB144" s="6"/>
      <c r="AC144" s="6"/>
      <c r="AD144" s="6"/>
      <c r="AE144" s="6"/>
      <c r="AF144" s="6"/>
      <c r="AG144" s="6"/>
    </row>
    <row r="145" spans="1:33" ht="224.4" x14ac:dyDescent="0.25">
      <c r="A145" s="6">
        <f ca="1">IFERROR(__xludf.DUMMYFUNCTION("""COMPUTED_VALUE"""),166)</f>
        <v>166</v>
      </c>
      <c r="B145" s="6">
        <f ca="1">IFERROR(__xludf.DUMMYFUNCTION("""COMPUTED_VALUE"""),6)</f>
        <v>6</v>
      </c>
      <c r="C145" s="6" t="str">
        <f ca="1">IFERROR(__xludf.DUMMYFUNCTION("""COMPUTED_VALUE"""),"Condor Cliff Dam (formerly Néstor Kirchner Dam)")</f>
        <v>Condor Cliff Dam (formerly Néstor Kirchner Dam)</v>
      </c>
      <c r="D145" s="6" t="str">
        <f ca="1">IFERROR(__xludf.DUMMYFUNCTION("""COMPUTED_VALUE"""),"CDB")</f>
        <v>CDB</v>
      </c>
      <c r="E145" s="6" t="str">
        <f ca="1">IFERROR(__xludf.DUMMYFUNCTION("""COMPUTED_VALUE"""),"China Development Bank")</f>
        <v>China Development Bank</v>
      </c>
      <c r="F145" s="6" t="str">
        <f ca="1">IFERROR(__xludf.DUMMYFUNCTION("""COMPUTED_VALUE"""),"Gezhouba Group Corporation
Argentine companies Electroenginiería and Hidrocuyo")</f>
        <v>Gezhouba Group Corporation
Argentine companies Electroenginiería and Hidrocuyo</v>
      </c>
      <c r="G145" s="6">
        <f ca="1">IFERROR(__xludf.DUMMYFUNCTION("""COMPUTED_VALUE"""),7)</f>
        <v>7</v>
      </c>
      <c r="H145" s="6" t="str">
        <f ca="1">IFERROR(__xludf.DUMMYFUNCTION("""COMPUTED_VALUE"""),"Energy - sustainable")</f>
        <v>Energy - sustainable</v>
      </c>
      <c r="I145" s="6" t="str">
        <f ca="1">IFERROR(__xludf.DUMMYFUNCTION("""COMPUTED_VALUE"""),"Investment")</f>
        <v>Investment</v>
      </c>
      <c r="J145" s="6" t="str">
        <f ca="1">IFERROR(__xludf.DUMMYFUNCTION("""COMPUTED_VALUE"""),"N/A")</f>
        <v>N/A</v>
      </c>
      <c r="K145" s="6" t="str">
        <f ca="1">IFERROR(__xludf.DUMMYFUNCTION("""COMPUTED_VALUE"""),"ARG")</f>
        <v>ARG</v>
      </c>
      <c r="L145" s="6" t="str">
        <f ca="1">IFERROR(__xludf.DUMMYFUNCTION("""COMPUTED_VALUE"""),"Argentina")</f>
        <v>Argentina</v>
      </c>
      <c r="M145" s="6" t="str">
        <f ca="1">IFERROR(__xludf.DUMMYFUNCTION("""COMPUTED_VALUE"""),"Patagonian province of Santa Cruz, Argentina ")</f>
        <v xml:space="preserve">Patagonian province of Santa Cruz, Argentina </v>
      </c>
      <c r="N145" s="6" t="str">
        <f ca="1">IFERROR(__xludf.DUMMYFUNCTION("""COMPUTED_VALUE"""),"In August 2013, Argentina's government and a consortium led by China Gezhouba (Group) Co. and Argentine firms Electroingenieria SA and Hidrocuyo SA signed the contract for the construction of two hydroelectric dams: Condor Cliff (formerly Néstor Kirchner)"&amp;" and La Barrancosa (formerly Jorge Cepernic). The idea for these projects dates back to the 1950s, with feasibility studies occuring in the 1970s under Argentina's military dictatorship. In 2007, the Fernández de Kirchner government relaunched the two pro"&amp;"jects, now named Condor Cliff and La Barrancosa with a 35% reduction in funding. The cost of these dams is USD $4.7 billion with 85% financed by Chinese Development Bank, with part of the energy generated used to repay the loan. The first tranche of USD $"&amp;"288 million has already been received, with the remainder to be provided in regular instalments. The exact cost of each dam is unknown. The Condor Cliff Dam will be 75.5 meters high, include six Francis turbines and have an installed capacity of 1,140 meg"&amp;"awatts. The Governor Jorge Cepernic dam will be 43.5 meters high, include five Kaplan turbines and have an installed capacity of 600 megawatts. In July 2015, the machines arrived at Santa Cruz for the construction of dams. At the end of 2016, however, Arg"&amp;"entina's Supreme Court suspended work on the dams after an appeal by environmental experts and organizations, ruling that a proper environmental impact assessment and public consultation be carried out. In response to the court rulings, Former President M"&amp;"auricio Macri (2015-2019) scaled back the project. Instead of a total of 11 turbines for the two dams, there would be eight and the dams’ height would be lowered. In 2017, Argentina’s government approved the construction of the two hydroelectric dams. Env"&amp;"ironmental organizations have claimed that this dam, as well as the La Barrancosa project, have the potential for mass destruction and harm to the environment surrounding the construction areas. They argue that the dams have the potential to affect three "&amp;"Patagonian glaciers at the UNESCO World Heritage site Los Glarciares.")</f>
        <v>In August 2013, Argentina's government and a consortium led by China Gezhouba (Group) Co. and Argentine firms Electroingenieria SA and Hidrocuyo SA signed the contract for the construction of two hydroelectric dams: Condor Cliff (formerly Néstor Kirchner) and La Barrancosa (formerly Jorge Cepernic). The idea for these projects dates back to the 1950s, with feasibility studies occuring in the 1970s under Argentina's military dictatorship. In 2007, the Fernández de Kirchner government relaunched the two projects, now named Condor Cliff and La Barrancosa with a 35% reduction in funding. The cost of these dams is USD $4.7 billion with 85% financed by Chinese Development Bank, with part of the energy generated used to repay the loan. The first tranche of USD $288 million has already been received, with the remainder to be provided in regular instalments. The exact cost of each dam is unknown. The Condor Cliff Dam will be 75.5 meters high, include six Francis turbines and have an installed capacity of 1,140 megawatts. The Governor Jorge Cepernic dam will be 43.5 meters high, include five Kaplan turbines and have an installed capacity of 600 megawatts. In July 2015, the machines arrived at Santa Cruz for the construction of dams. At the end of 2016, however, Argentina's Supreme Court suspended work on the dams after an appeal by environmental experts and organizations, ruling that a proper environmental impact assessment and public consultation be carried out. In response to the court rulings, Former President Mauricio Macri (2015-2019) scaled back the project. Instead of a total of 11 turbines for the two dams, there would be eight and the dams’ height would be lowered. In 2017, Argentina’s government approved the construction of the two hydroelectric dams. Environmental organizations have claimed that this dam, as well as the La Barrancosa project, have the potential for mass destruction and harm to the environment surrounding the construction areas. They argue that the dams have the potential to affect three Patagonian glaciers at the UNESCO World Heritage site Los Glarciares.</v>
      </c>
      <c r="O145" s="6" t="str">
        <f ca="1">IFERROR(__xludf.DUMMYFUNCTION("""COMPUTED_VALUE"""),"08/00/2013")</f>
        <v>08/00/2013</v>
      </c>
      <c r="P145" s="6" t="str">
        <f ca="1">IFERROR(__xludf.DUMMYFUNCTION("""COMPUTED_VALUE"""),"N/A")</f>
        <v>N/A</v>
      </c>
      <c r="Q145" s="6" t="str">
        <f ca="1">IFERROR(__xludf.DUMMYFUNCTION("""COMPUTED_VALUE"""),"Under construction - delayed")</f>
        <v>Under construction - delayed</v>
      </c>
      <c r="R145" s="6" t="str">
        <f ca="1">IFERROR(__xludf.DUMMYFUNCTION("""COMPUTED_VALUE"""),"DAM")</f>
        <v>DAM</v>
      </c>
      <c r="S145" s="9" t="str">
        <f ca="1">IFERROR(__xludf.DUMMYFUNCTION("""COMPUTED_VALUE"""),"https://gist.github.com/Remy2020/c0cce58e8f60d75b35ae00aa7fcfc403")</f>
        <v>https://gist.github.com/Remy2020/c0cce58e8f60d75b35ae00aa7fcfc403</v>
      </c>
      <c r="T145" s="6" t="str">
        <f ca="1">IFERROR(__xludf.DUMMYFUNCTION("""COMPUTED_VALUE"""),"BLOB")</f>
        <v>BLOB</v>
      </c>
      <c r="U145" s="6" t="str">
        <f ca="1">IFERROR(__xludf.DUMMYFUNCTION("""COMPUTED_VALUE"""),"Google dam name and used google maps")</f>
        <v>Google dam name and used google maps</v>
      </c>
      <c r="V145" s="6" t="str">
        <f ca="1">IFERROR(__xludf.DUMMYFUNCTION("""COMPUTED_VALUE"""),"Yes (Both)")</f>
        <v>Yes (Both)</v>
      </c>
      <c r="W145" s="6" t="str">
        <f ca="1">IFERROR(__xludf.DUMMYFUNCTION("""COMPUTED_VALUE"""),"Santa Cruz")</f>
        <v>Santa Cruz</v>
      </c>
      <c r="X145" s="6"/>
      <c r="Y145" s="6"/>
      <c r="Z145" s="6"/>
      <c r="AA145" s="6"/>
      <c r="AB145" s="6"/>
      <c r="AC145" s="6"/>
      <c r="AD145" s="6"/>
      <c r="AE145" s="6"/>
      <c r="AF145" s="6"/>
      <c r="AG145" s="6"/>
    </row>
    <row r="146" spans="1:33" ht="198" x14ac:dyDescent="0.25">
      <c r="A146" s="6">
        <f ca="1">IFERROR(__xludf.DUMMYFUNCTION("""COMPUTED_VALUE"""),167)</f>
        <v>167</v>
      </c>
      <c r="B146" s="6">
        <f ca="1">IFERROR(__xludf.DUMMYFUNCTION("""COMPUTED_VALUE"""),6)</f>
        <v>6</v>
      </c>
      <c r="C146" s="6" t="str">
        <f ca="1">IFERROR(__xludf.DUMMYFUNCTION("""COMPUTED_VALUE"""),"La Barrancosa Dam (formerly Jorge Cepernic Dam)")</f>
        <v>La Barrancosa Dam (formerly Jorge Cepernic Dam)</v>
      </c>
      <c r="D146" s="6" t="str">
        <f ca="1">IFERROR(__xludf.DUMMYFUNCTION("""COMPUTED_VALUE"""),"CDB")</f>
        <v>CDB</v>
      </c>
      <c r="E146" s="6" t="str">
        <f ca="1">IFERROR(__xludf.DUMMYFUNCTION("""COMPUTED_VALUE"""),"China Development Bank")</f>
        <v>China Development Bank</v>
      </c>
      <c r="F146" s="6" t="str">
        <f ca="1">IFERROR(__xludf.DUMMYFUNCTION("""COMPUTED_VALUE"""),"Gezhouba Group Corporation
Argentine companies Electroenginiería and Hidrocuyo")</f>
        <v>Gezhouba Group Corporation
Argentine companies Electroenginiería and Hidrocuyo</v>
      </c>
      <c r="G146" s="6">
        <f ca="1">IFERROR(__xludf.DUMMYFUNCTION("""COMPUTED_VALUE"""),7)</f>
        <v>7</v>
      </c>
      <c r="H146" s="6" t="str">
        <f ca="1">IFERROR(__xludf.DUMMYFUNCTION("""COMPUTED_VALUE"""),"Energy - sustainable")</f>
        <v>Energy - sustainable</v>
      </c>
      <c r="I146" s="6" t="str">
        <f ca="1">IFERROR(__xludf.DUMMYFUNCTION("""COMPUTED_VALUE"""),"Investment")</f>
        <v>Investment</v>
      </c>
      <c r="J146" s="6" t="str">
        <f ca="1">IFERROR(__xludf.DUMMYFUNCTION("""COMPUTED_VALUE"""),"N/A")</f>
        <v>N/A</v>
      </c>
      <c r="K146" s="6" t="str">
        <f ca="1">IFERROR(__xludf.DUMMYFUNCTION("""COMPUTED_VALUE"""),"ARG")</f>
        <v>ARG</v>
      </c>
      <c r="L146" s="6" t="str">
        <f ca="1">IFERROR(__xludf.DUMMYFUNCTION("""COMPUTED_VALUE"""),"Argentina")</f>
        <v>Argentina</v>
      </c>
      <c r="M146" s="6" t="str">
        <f ca="1">IFERROR(__xludf.DUMMYFUNCTION("""COMPUTED_VALUE"""),"Patagonian province of Santa Cruz, Argentina ")</f>
        <v xml:space="preserve">Patagonian province of Santa Cruz, Argentina </v>
      </c>
      <c r="N146" s="6" t="str">
        <f ca="1">IFERROR(__xludf.DUMMYFUNCTION("""COMPUTED_VALUE"""),"In August 2013, Argentina's government and a consortium led by China Gezhouba (Group) Co. and Argentine firms Electroingenieria SA and Hidrocuyo SA signed the contract for the construction of two hydroelectric dams: Condor Cliff (formerly Néstor Kirchner)"&amp;" and La Barrancosa (formerly Jorge Cepernic). The idea for these projects dates back to the 1950s, with feasibility studies occuring in the 1970s under Argentina's military dictatorship. In 2007, the Fernández de Kirchner government relaunched the two pro"&amp;"jects, now named Condor Cliff and La Barrancosa with a 35% reduction in funding. The cost of these dams is USD $4.7 billion with 85% financed by Chinese Development Bank, with part of the energy generated used to repay the loan. The first tranche of USD $"&amp;"288 million has already been received, with the remainder to be provided in regular instalments. The exact cost of each dam is unknown. The La Barrancosa dam will be 43.5 meters high, include five Kaplan turbines and have an installed capacity of 600 mega"&amp;"watts. In July 2015, the machines arrived at Santa Cruz for the construction of dams. At the end of 2016, however, Argentina's Supreme Court suspended work on the dams, ruling that a proper environmental impact assessment and public consultation be carrie"&amp;"d out. In response to the court rulings, Former President Mauricio Macri (2015-2019) scaled back the project. Instead of a total of 11 turbines for the two dams, there would be eight and the dams’ height would be lowered. In 2017, Argentina’s government a"&amp;"pproved the construction of the two hydroelectric dams. Environmental organizations have claimed that this dam, as well as the Condor Cliff Dam, have the potential for mass destruction and harm to the environment surrounding the construction areas. They a"&amp;"rgue that the dams have the potential to affect three Patagonian glaciers at the UNESCO World Heritage site Los Glarciares.")</f>
        <v>In August 2013, Argentina's government and a consortium led by China Gezhouba (Group) Co. and Argentine firms Electroingenieria SA and Hidrocuyo SA signed the contract for the construction of two hydroelectric dams: Condor Cliff (formerly Néstor Kirchner) and La Barrancosa (formerly Jorge Cepernic). The idea for these projects dates back to the 1950s, with feasibility studies occuring in the 1970s under Argentina's military dictatorship. In 2007, the Fernández de Kirchner government relaunched the two projects, now named Condor Cliff and La Barrancosa with a 35% reduction in funding. The cost of these dams is USD $4.7 billion with 85% financed by Chinese Development Bank, with part of the energy generated used to repay the loan. The first tranche of USD $288 million has already been received, with the remainder to be provided in regular instalments. The exact cost of each dam is unknown. The La Barrancosa dam will be 43.5 meters high, include five Kaplan turbines and have an installed capacity of 600 megawatts. In July 2015, the machines arrived at Santa Cruz for the construction of dams. At the end of 2016, however, Argentina's Supreme Court suspended work on the dams, ruling that a proper environmental impact assessment and public consultation be carried out. In response to the court rulings, Former President Mauricio Macri (2015-2019) scaled back the project. Instead of a total of 11 turbines for the two dams, there would be eight and the dams’ height would be lowered. In 2017, Argentina’s government approved the construction of the two hydroelectric dams. Environmental organizations have claimed that this dam, as well as the Condor Cliff Dam, have the potential for mass destruction and harm to the environment surrounding the construction areas. They argue that the dams have the potential to affect three Patagonian glaciers at the UNESCO World Heritage site Los Glarciares.</v>
      </c>
      <c r="O146" s="6" t="str">
        <f ca="1">IFERROR(__xludf.DUMMYFUNCTION("""COMPUTED_VALUE"""),"08/00/2013")</f>
        <v>08/00/2013</v>
      </c>
      <c r="P146" s="6" t="str">
        <f ca="1">IFERROR(__xludf.DUMMYFUNCTION("""COMPUTED_VALUE"""),"N/A")</f>
        <v>N/A</v>
      </c>
      <c r="Q146" s="6" t="str">
        <f ca="1">IFERROR(__xludf.DUMMYFUNCTION("""COMPUTED_VALUE"""),"Under construction - delayed")</f>
        <v>Under construction - delayed</v>
      </c>
      <c r="R146" s="6" t="str">
        <f ca="1">IFERROR(__xludf.DUMMYFUNCTION("""COMPUTED_VALUE"""),"DAM")</f>
        <v>DAM</v>
      </c>
      <c r="S146" s="9" t="str">
        <f ca="1">IFERROR(__xludf.DUMMYFUNCTION("""COMPUTED_VALUE"""),"https://gist.github.com/Remy2020/9f90a7da560610532e2f60c14a5d1add")</f>
        <v>https://gist.github.com/Remy2020/9f90a7da560610532e2f60c14a5d1add</v>
      </c>
      <c r="T146" s="6" t="str">
        <f ca="1">IFERROR(__xludf.DUMMYFUNCTION("""COMPUTED_VALUE"""),"BLOB")</f>
        <v>BLOB</v>
      </c>
      <c r="U146" s="6" t="str">
        <f ca="1">IFERROR(__xludf.DUMMYFUNCTION("""COMPUTED_VALUE"""),"Used https://barnabecolin.com/2019/01/26/condor-cliff-and-la-barrancosa-the-dangerous-dams-of-patagonia/ and followed google maps and geojson")</f>
        <v>Used https://barnabecolin.com/2019/01/26/condor-cliff-and-la-barrancosa-the-dangerous-dams-of-patagonia/ and followed google maps and geojson</v>
      </c>
      <c r="V146" s="6" t="str">
        <f ca="1">IFERROR(__xludf.DUMMYFUNCTION("""COMPUTED_VALUE"""),"Yes (Both)")</f>
        <v>Yes (Both)</v>
      </c>
      <c r="W146" s="6" t="str">
        <f ca="1">IFERROR(__xludf.DUMMYFUNCTION("""COMPUTED_VALUE"""),"Santa Cruz")</f>
        <v>Santa Cruz</v>
      </c>
      <c r="X146" s="6"/>
      <c r="Y146" s="6"/>
      <c r="Z146" s="6"/>
      <c r="AA146" s="6"/>
      <c r="AB146" s="6"/>
      <c r="AC146" s="6"/>
      <c r="AD146" s="6"/>
      <c r="AE146" s="6"/>
      <c r="AF146" s="6"/>
      <c r="AG146" s="6"/>
    </row>
    <row r="147" spans="1:33" ht="118.8" x14ac:dyDescent="0.25">
      <c r="A147" s="6">
        <f ca="1">IFERROR(__xludf.DUMMYFUNCTION("""COMPUTED_VALUE"""),168)</f>
        <v>168</v>
      </c>
      <c r="B147" s="6">
        <f ca="1">IFERROR(__xludf.DUMMYFUNCTION("""COMPUTED_VALUE"""),3)</f>
        <v>3</v>
      </c>
      <c r="C147" s="6" t="str">
        <f ca="1">IFERROR(__xludf.DUMMYFUNCTION("""COMPUTED_VALUE"""),"Portezuelo del Viento Hydro Project")</f>
        <v>Portezuelo del Viento Hydro Project</v>
      </c>
      <c r="D147" s="6" t="str">
        <f ca="1">IFERROR(__xludf.DUMMYFUNCTION("""COMPUTED_VALUE"""),"Other Institution")</f>
        <v>Other Institution</v>
      </c>
      <c r="E147" s="6" t="str">
        <f ca="1">IFERROR(__xludf.DUMMYFUNCTION("""COMPUTED_VALUE"""),"Government of Argentina")</f>
        <v>Government of Argentina</v>
      </c>
      <c r="F147" s="6" t="str">
        <f ca="1">IFERROR(__xludf.DUMMYFUNCTION("""COMPUTED_VALUE"""),"Consortium of China Gezhouba Group
and Sinohydro, in addition to two Mendoza-based construction companies Ceosa and Oasa and Argentine company Impsa")</f>
        <v>Consortium of China Gezhouba Group
and Sinohydro, in addition to two Mendoza-based construction companies Ceosa and Oasa and Argentine company Impsa</v>
      </c>
      <c r="G147" s="6">
        <f ca="1">IFERROR(__xludf.DUMMYFUNCTION("""COMPUTED_VALUE"""),7)</f>
        <v>7</v>
      </c>
      <c r="H147" s="6" t="str">
        <f ca="1">IFERROR(__xludf.DUMMYFUNCTION("""COMPUTED_VALUE"""),"Energy - sustainable")</f>
        <v>Energy - sustainable</v>
      </c>
      <c r="I147" s="6" t="str">
        <f ca="1">IFERROR(__xludf.DUMMYFUNCTION("""COMPUTED_VALUE"""),"Investment")</f>
        <v>Investment</v>
      </c>
      <c r="J147" s="7">
        <f ca="1">IFERROR(__xludf.DUMMYFUNCTION("""COMPUTED_VALUE"""),1000000000)</f>
        <v>1000000000</v>
      </c>
      <c r="K147" s="6" t="str">
        <f ca="1">IFERROR(__xludf.DUMMYFUNCTION("""COMPUTED_VALUE"""),"ARG")</f>
        <v>ARG</v>
      </c>
      <c r="L147" s="6" t="str">
        <f ca="1">IFERROR(__xludf.DUMMYFUNCTION("""COMPUTED_VALUE"""),"Argentina")</f>
        <v>Argentina</v>
      </c>
      <c r="M147" s="6" t="str">
        <f ca="1">IFERROR(__xludf.DUMMYFUNCTION("""COMPUTED_VALUE"""),"Mendoza province, Argentina")</f>
        <v>Mendoza province, Argentina</v>
      </c>
      <c r="N147" s="6" t="str">
        <f ca="1">IFERROR(__xludf.DUMMYFUNCTION("""COMPUTED_VALUE"""),"Around July 2020, a consortium led by two Chinese contractors, China Gezhouba Group and Sinohydro, put in the sole bid as the contractor for the Portezuelo del Viento hydro project. The project costs about $1 billion USD and will be financed by the Govern"&amp;"ment of Argentina. If the government of Mendoza accepts the bid, the construction work is expected to begin in the middle of 2021 and finish by 2026. Portezuelo del Viento includes a 185-meter high dam on the Colorado River, with a reservoir capacity of 1"&amp;",940 hm3. The powerhouse will contain 3 x 70-MW turbine-generator units. The project will also allow transferring water to the nearby Atuel River. Construction will involve modifying highways 145 and 226, relocating the small town of Las Loicas and buildi"&amp;"ng associated transmission assets.")</f>
        <v>Around July 2020, a consortium led by two Chinese contractors, China Gezhouba Group and Sinohydro, put in the sole bid as the contractor for the Portezuelo del Viento hydro project. The project costs about $1 billion USD and will be financed by the Government of Argentina. If the government of Mendoza accepts the bid, the construction work is expected to begin in the middle of 2021 and finish by 2026. Portezuelo del Viento includes a 185-meter high dam on the Colorado River, with a reservoir capacity of 1,940 hm3. The powerhouse will contain 3 x 70-MW turbine-generator units. The project will also allow transferring water to the nearby Atuel River. Construction will involve modifying highways 145 and 226, relocating the small town of Las Loicas and building associated transmission assets.</v>
      </c>
      <c r="O147" s="6" t="str">
        <f ca="1">IFERROR(__xludf.DUMMYFUNCTION("""COMPUTED_VALUE"""),"N/A")</f>
        <v>N/A</v>
      </c>
      <c r="P147" s="6" t="str">
        <f ca="1">IFERROR(__xludf.DUMMYFUNCTION("""COMPUTED_VALUE"""),"N/A")</f>
        <v>N/A</v>
      </c>
      <c r="Q147" s="6" t="str">
        <f ca="1">IFERROR(__xludf.DUMMYFUNCTION("""COMPUTED_VALUE"""),"Proposed - formal")</f>
        <v>Proposed - formal</v>
      </c>
      <c r="R147" s="6" t="str">
        <f ca="1">IFERROR(__xludf.DUMMYFUNCTION("""COMPUTED_VALUE"""),"DAM")</f>
        <v>DAM</v>
      </c>
      <c r="S147" s="6" t="str">
        <f ca="1">IFERROR(__xludf.DUMMYFUNCTION("""COMPUTED_VALUE"""),"ARG-ADM2-3_0_0-B219")</f>
        <v>ARG-ADM2-3_0_0-B219</v>
      </c>
      <c r="T147" s="6" t="str">
        <f ca="1">IFERROR(__xludf.DUMMYFUNCTION("""COMPUTED_VALUE"""),"BLOB")</f>
        <v>BLOB</v>
      </c>
      <c r="U147" s="9" t="str">
        <f ca="1">IFERROR(__xludf.DUMMYFUNCTION("""COMPUTED_VALUE"""),"https://ejatlas.org/conflict/portezuelo-del-viento ")</f>
        <v xml:space="preserve">https://ejatlas.org/conflict/portezuelo-del-viento </v>
      </c>
      <c r="V147" s="6" t="str">
        <f ca="1">IFERROR(__xludf.DUMMYFUNCTION("""COMPUTED_VALUE"""),"Yes (Both)")</f>
        <v>Yes (Both)</v>
      </c>
      <c r="W147" s="6" t="str">
        <f ca="1">IFERROR(__xludf.DUMMYFUNCTION("""COMPUTED_VALUE"""),"Mendoza")</f>
        <v>Mendoza</v>
      </c>
      <c r="X147" s="6"/>
      <c r="Y147" s="6"/>
      <c r="Z147" s="6"/>
      <c r="AA147" s="6"/>
      <c r="AB147" s="6"/>
      <c r="AC147" s="6"/>
      <c r="AD147" s="6"/>
      <c r="AE147" s="6"/>
      <c r="AF147" s="6"/>
      <c r="AG147" s="6"/>
    </row>
    <row r="148" spans="1:33" ht="79.2" x14ac:dyDescent="0.25">
      <c r="A148" s="6">
        <f ca="1">IFERROR(__xludf.DUMMYFUNCTION("""COMPUTED_VALUE"""),169)</f>
        <v>169</v>
      </c>
      <c r="B148" s="6">
        <f ca="1">IFERROR(__xludf.DUMMYFUNCTION("""COMPUTED_VALUE"""),4)</f>
        <v>4</v>
      </c>
      <c r="C148" s="6" t="str">
        <f ca="1">IFERROR(__xludf.DUMMYFUNCTION("""COMPUTED_VALUE"""),"Nido de Aguilas Hydroplant Project")</f>
        <v>Nido de Aguilas Hydroplant Project</v>
      </c>
      <c r="D148" s="6" t="str">
        <f ca="1">IFERROR(__xludf.DUMMYFUNCTION("""COMPUTED_VALUE"""),"Other Institution")</f>
        <v>Other Institution</v>
      </c>
      <c r="E148" s="6" t="str">
        <f ca="1">IFERROR(__xludf.DUMMYFUNCTION("""COMPUTED_VALUE"""),"Pacific Hydro (Proposed before SPIC acquired it but construction occured after SPIC acquisition).")</f>
        <v>Pacific Hydro (Proposed before SPIC acquired it but construction occured after SPIC acquisition).</v>
      </c>
      <c r="F148" s="6" t="str">
        <f ca="1">IFERROR(__xludf.DUMMYFUNCTION("""COMPUTED_VALUE"""),"Astaldi")</f>
        <v>Astaldi</v>
      </c>
      <c r="G148" s="6">
        <f ca="1">IFERROR(__xludf.DUMMYFUNCTION("""COMPUTED_VALUE"""),3)</f>
        <v>3</v>
      </c>
      <c r="H148" s="6" t="str">
        <f ca="1">IFERROR(__xludf.DUMMYFUNCTION("""COMPUTED_VALUE"""),"Energy - sustainable")</f>
        <v>Energy - sustainable</v>
      </c>
      <c r="I148" s="6" t="str">
        <f ca="1">IFERROR(__xludf.DUMMYFUNCTION("""COMPUTED_VALUE"""),"Contract")</f>
        <v>Contract</v>
      </c>
      <c r="J148" s="7">
        <f ca="1">IFERROR(__xludf.DUMMYFUNCTION("""COMPUTED_VALUE"""),280000000)</f>
        <v>280000000</v>
      </c>
      <c r="K148" s="6" t="str">
        <f ca="1">IFERROR(__xludf.DUMMYFUNCTION("""COMPUTED_VALUE"""),"CHL")</f>
        <v>CHL</v>
      </c>
      <c r="L148" s="6" t="str">
        <f ca="1">IFERROR(__xludf.DUMMYFUNCTION("""COMPUTED_VALUE"""),"Chile")</f>
        <v>Chile</v>
      </c>
      <c r="M148" s="6" t="str">
        <f ca="1">IFERROR(__xludf.DUMMYFUNCTION("""COMPUTED_VALUE"""),"On the Cortaderal and Las Leñas rivers in the province of Cachapoal, Chile")</f>
        <v>On the Cortaderal and Las Leñas rivers in the province of Cachapoal, Chile</v>
      </c>
      <c r="N148" s="6" t="str">
        <f ca="1">IFERROR(__xludf.DUMMYFUNCTION("""COMPUTED_VALUE"""),"This hydroplant is on the Cortaderal River in the province of Cachapoal in the O'Higgins region of Chile. It was proposed by Pacific Hydro in 2015 (though it was considered as early as the mid to late 2000s) and construction is expected to take around 42 "&amp;"months. Pacific Hydro, which as of December 2015 is owned by Chinese state-owned company State Power Investment Corporation (SPIC), is funding the HPP. The project will use the natural flow of the rivers to generate energy through the use of tunnels. It i"&amp;"s anticipated to have an installed capacity of 155-172 MW, enough to supply around 450,000 homes. Current construction status is vague.")</f>
        <v>This hydroplant is on the Cortaderal River in the province of Cachapoal in the O'Higgins region of Chile. It was proposed by Pacific Hydro in 2015 (though it was considered as early as the mid to late 2000s) and construction is expected to take around 42 months. Pacific Hydro, which as of December 2015 is owned by Chinese state-owned company State Power Investment Corporation (SPIC), is funding the HPP. The project will use the natural flow of the rivers to generate energy through the use of tunnels. It is anticipated to have an installed capacity of 155-172 MW, enough to supply around 450,000 homes. Current construction status is vague.</v>
      </c>
      <c r="O148" s="6" t="str">
        <f ca="1">IFERROR(__xludf.DUMMYFUNCTION("""COMPUTED_VALUE"""),"00/00/2015")</f>
        <v>00/00/2015</v>
      </c>
      <c r="P148" s="6" t="str">
        <f ca="1">IFERROR(__xludf.DUMMYFUNCTION("""COMPUTED_VALUE"""),"N/A")</f>
        <v>N/A</v>
      </c>
      <c r="Q148" s="6" t="str">
        <f ca="1">IFERROR(__xludf.DUMMYFUNCTION("""COMPUTED_VALUE"""),"Under construction - unknown")</f>
        <v>Under construction - unknown</v>
      </c>
      <c r="R148" s="6" t="str">
        <f ca="1">IFERROR(__xludf.DUMMYFUNCTION("""COMPUTED_VALUE"""),"DAM")</f>
        <v>DAM</v>
      </c>
      <c r="S148" s="9" t="str">
        <f ca="1">IFERROR(__xludf.DUMMYFUNCTION("""COMPUTED_VALUE"""),"https://gist.github.com/ysun15/796df23d4721c647ad65ad74853aaaaf")</f>
        <v>https://gist.github.com/ysun15/796df23d4721c647ad65ad74853aaaaf</v>
      </c>
      <c r="T148" s="6" t="str">
        <f ca="1">IFERROR(__xludf.DUMMYFUNCTION("""COMPUTED_VALUE"""),"DAM")</f>
        <v>DAM</v>
      </c>
      <c r="U148" s="6" t="str">
        <f ca="1">IFERROR(__xludf.DUMMYFUNCTION("""COMPUTED_VALUE"""),"find approximate location from:
http://generadoras.cl/prensa/central-de-pasada-nido-de-aguilas-recibe-aprobacion-de-consejo-de-ministros ")</f>
        <v xml:space="preserve">find approximate location from:
http://generadoras.cl/prensa/central-de-pasada-nido-de-aguilas-recibe-aprobacion-de-consejo-de-ministros </v>
      </c>
      <c r="V148" s="6" t="str">
        <f ca="1">IFERROR(__xludf.DUMMYFUNCTION("""COMPUTED_VALUE"""),"Yes (Both)")</f>
        <v>Yes (Both)</v>
      </c>
      <c r="W148" s="6" t="str">
        <f ca="1">IFERROR(__xludf.DUMMYFUNCTION("""COMPUTED_VALUE"""),"O'Higgins")</f>
        <v>O'Higgins</v>
      </c>
      <c r="X148" s="6"/>
      <c r="Y148" s="6"/>
      <c r="Z148" s="6"/>
      <c r="AA148" s="6"/>
      <c r="AB148" s="6"/>
      <c r="AC148" s="6"/>
      <c r="AD148" s="6"/>
      <c r="AE148" s="6"/>
      <c r="AF148" s="6"/>
      <c r="AG148" s="6"/>
    </row>
    <row r="149" spans="1:33" ht="92.4" x14ac:dyDescent="0.25">
      <c r="A149" s="6">
        <f ca="1">IFERROR(__xludf.DUMMYFUNCTION("""COMPUTED_VALUE"""),170)</f>
        <v>170</v>
      </c>
      <c r="B149" s="6">
        <f ca="1">IFERROR(__xludf.DUMMYFUNCTION("""COMPUTED_VALUE"""),7)</f>
        <v>7</v>
      </c>
      <c r="C149" s="6" t="str">
        <f ca="1">IFERROR(__xludf.DUMMYFUNCTION("""COMPUTED_VALUE"""),"Chacayes Hydropower Project")</f>
        <v>Chacayes Hydropower Project</v>
      </c>
      <c r="D149" s="6" t="str">
        <f ca="1">IFERROR(__xludf.DUMMYFUNCTION("""COMPUTED_VALUE"""),"Other Institution")</f>
        <v>Other Institution</v>
      </c>
      <c r="E149" s="6" t="str">
        <f ca="1">IFERROR(__xludf.DUMMYFUNCTION("""COMPUTED_VALUE"""),"Pacific Hydro (funded before SPIC acquired it)")</f>
        <v>Pacific Hydro (funded before SPIC acquired it)</v>
      </c>
      <c r="F149" s="6" t="str">
        <f ca="1">IFERROR(__xludf.DUMMYFUNCTION("""COMPUTED_VALUE"""),"Astaldi")</f>
        <v>Astaldi</v>
      </c>
      <c r="G149" s="6">
        <f ca="1">IFERROR(__xludf.DUMMYFUNCTION("""COMPUTED_VALUE"""),9)</f>
        <v>9</v>
      </c>
      <c r="H149" s="6" t="str">
        <f ca="1">IFERROR(__xludf.DUMMYFUNCTION("""COMPUTED_VALUE"""),"Energy - sustainable")</f>
        <v>Energy - sustainable</v>
      </c>
      <c r="I149" s="6" t="str">
        <f ca="1">IFERROR(__xludf.DUMMYFUNCTION("""COMPUTED_VALUE"""),"Contract")</f>
        <v>Contract</v>
      </c>
      <c r="J149" s="7">
        <f ca="1">IFERROR(__xludf.DUMMYFUNCTION("""COMPUTED_VALUE"""),450000000)</f>
        <v>450000000</v>
      </c>
      <c r="K149" s="6" t="str">
        <f ca="1">IFERROR(__xludf.DUMMYFUNCTION("""COMPUTED_VALUE"""),"CHL")</f>
        <v>CHL</v>
      </c>
      <c r="L149" s="6" t="str">
        <f ca="1">IFERROR(__xludf.DUMMYFUNCTION("""COMPUTED_VALUE"""),"Chile")</f>
        <v>Chile</v>
      </c>
      <c r="M149" s="6" t="str">
        <f ca="1">IFERROR(__xludf.DUMMYFUNCTION("""COMPUTED_VALUE"""),"The Alto Cachapoal Valley of the Andes Mountains in Chile")</f>
        <v>The Alto Cachapoal Valley of the Andes Mountains in Chile</v>
      </c>
      <c r="N149" s="6" t="str">
        <f ca="1">IFERROR(__xludf.DUMMYFUNCTION("""COMPUTED_VALUE"""),"This project is the first of a series of planned run-of-river hydroelectric projects being developed in order to add over 600MW of renewable energy capacity to Chile's national grid. It is jointly owned by Pacific Hydro (which is-  as of December 2015 - o"&amp;"wned by Chinese state-owned company State Power Investment Corporation(SPIC)) and Italian construction group Astaldi. Before 2017, Astaldi had a stake in the plant; however, in March 2017, Astaldi sold its share to Pacific Hydro - now a subsidiary of SPIC"&amp;"- giving Pacific Hydro complete ownership of Chacayes.")</f>
        <v>This project is the first of a series of planned run-of-river hydroelectric projects being developed in order to add over 600MW of renewable energy capacity to Chile's national grid. It is jointly owned by Pacific Hydro (which is-  as of December 2015 - owned by Chinese state-owned company State Power Investment Corporation(SPIC)) and Italian construction group Astaldi. Before 2017, Astaldi had a stake in the plant; however, in March 2017, Astaldi sold its share to Pacific Hydro - now a subsidiary of SPIC- giving Pacific Hydro complete ownership of Chacayes.</v>
      </c>
      <c r="O149" s="6" t="str">
        <f ca="1">IFERROR(__xludf.DUMMYFUNCTION("""COMPUTED_VALUE"""),"00/00/2008")</f>
        <v>00/00/2008</v>
      </c>
      <c r="P149" s="6" t="str">
        <f ca="1">IFERROR(__xludf.DUMMYFUNCTION("""COMPUTED_VALUE"""),"00/00/2011")</f>
        <v>00/00/2011</v>
      </c>
      <c r="Q149" s="6" t="str">
        <f ca="1">IFERROR(__xludf.DUMMYFUNCTION("""COMPUTED_VALUE"""),"Completed")</f>
        <v>Completed</v>
      </c>
      <c r="R149" s="6" t="str">
        <f ca="1">IFERROR(__xludf.DUMMYFUNCTION("""COMPUTED_VALUE"""),"DAM")</f>
        <v>DAM</v>
      </c>
      <c r="S149" s="6" t="str">
        <f ca="1">IFERROR(__xludf.DUMMYFUNCTION("""COMPUTED_VALUE"""),"top: main construction site(dam, supporting infrastructures)
bottom: reservoir
https://gist.github.com/ysun15/c4ea4b2991123ea69be31bc8e542678c ")</f>
        <v xml:space="preserve">top: main construction site(dam, supporting infrastructures)
bottom: reservoir
https://gist.github.com/ysun15/c4ea4b2991123ea69be31bc8e542678c </v>
      </c>
      <c r="T149" s="6" t="str">
        <f ca="1">IFERROR(__xludf.DUMMYFUNCTION("""COMPUTED_VALUE"""),"DAM")</f>
        <v>DAM</v>
      </c>
      <c r="U149" s="6" t="str">
        <f ca="1">IFERROR(__xludf.DUMMYFUNCTION("""COMPUTED_VALUE"""),"find location at: http://globalenergyobservatory.org/geoid/44567
dam construction: https://blogs.agu.org/fromaglaciersperspective/2014/11/09/cortaderal-glacier-retreat-chile/
use google map images to geocode")</f>
        <v>find location at: http://globalenergyobservatory.org/geoid/44567
dam construction: https://blogs.agu.org/fromaglaciersperspective/2014/11/09/cortaderal-glacier-retreat-chile/
use google map images to geocode</v>
      </c>
      <c r="V149" s="6" t="str">
        <f ca="1">IFERROR(__xludf.DUMMYFUNCTION("""COMPUTED_VALUE"""),"Yes (Both)")</f>
        <v>Yes (Both)</v>
      </c>
      <c r="W149" s="6" t="str">
        <f ca="1">IFERROR(__xludf.DUMMYFUNCTION("""COMPUTED_VALUE"""),"O'Higgins")</f>
        <v>O'Higgins</v>
      </c>
      <c r="X149" s="6"/>
      <c r="Y149" s="6"/>
      <c r="Z149" s="6"/>
      <c r="AA149" s="6"/>
      <c r="AB149" s="6"/>
      <c r="AC149" s="6"/>
      <c r="AD149" s="6"/>
      <c r="AE149" s="6"/>
      <c r="AF149" s="6"/>
      <c r="AG149" s="6"/>
    </row>
    <row r="150" spans="1:33" ht="79.2" x14ac:dyDescent="0.25">
      <c r="A150" s="6">
        <f ca="1">IFERROR(__xludf.DUMMYFUNCTION("""COMPUTED_VALUE"""),171)</f>
        <v>171</v>
      </c>
      <c r="B150" s="6">
        <f ca="1">IFERROR(__xludf.DUMMYFUNCTION("""COMPUTED_VALUE"""),4)</f>
        <v>4</v>
      </c>
      <c r="C150" s="6" t="str">
        <f ca="1">IFERROR(__xludf.DUMMYFUNCTION("""COMPUTED_VALUE"""),"La Higuera Hydropower Project")</f>
        <v>La Higuera Hydropower Project</v>
      </c>
      <c r="D150" s="6" t="str">
        <f ca="1">IFERROR(__xludf.DUMMYFUNCTION("""COMPUTED_VALUE"""),"Other Institution")</f>
        <v>Other Institution</v>
      </c>
      <c r="E150" s="6" t="str">
        <f ca="1">IFERROR(__xludf.DUMMYFUNCTION("""COMPUTED_VALUE"""),"Pacific Hydro (before SPIC) and the International Finance Corporation")</f>
        <v>Pacific Hydro (before SPIC) and the International Finance Corporation</v>
      </c>
      <c r="F150" s="6" t="str">
        <f ca="1">IFERROR(__xludf.DUMMYFUNCTION("""COMPUTED_VALUE"""),"Chilean power generator Tinguirica Energia, which is owned by Pacific Hydro and Norway's SN Power.")</f>
        <v>Chilean power generator Tinguirica Energia, which is owned by Pacific Hydro and Norway's SN Power.</v>
      </c>
      <c r="G150" s="6">
        <f ca="1">IFERROR(__xludf.DUMMYFUNCTION("""COMPUTED_VALUE"""),9)</f>
        <v>9</v>
      </c>
      <c r="H150" s="6" t="str">
        <f ca="1">IFERROR(__xludf.DUMMYFUNCTION("""COMPUTED_VALUE"""),"Energy - sustainable")</f>
        <v>Energy - sustainable</v>
      </c>
      <c r="I150" s="6" t="str">
        <f ca="1">IFERROR(__xludf.DUMMYFUNCTION("""COMPUTED_VALUE"""),"Loan")</f>
        <v>Loan</v>
      </c>
      <c r="J150" s="6" t="str">
        <f ca="1">IFERROR(__xludf.DUMMYFUNCTION("""COMPUTED_VALUE"""),"N/A")</f>
        <v>N/A</v>
      </c>
      <c r="K150" s="6" t="str">
        <f ca="1">IFERROR(__xludf.DUMMYFUNCTION("""COMPUTED_VALUE"""),"CHL")</f>
        <v>CHL</v>
      </c>
      <c r="L150" s="6" t="str">
        <f ca="1">IFERROR(__xludf.DUMMYFUNCTION("""COMPUTED_VALUE"""),"Chile")</f>
        <v>Chile</v>
      </c>
      <c r="M150" s="6" t="str">
        <f ca="1">IFERROR(__xludf.DUMMYFUNCTION("""COMPUTED_VALUE"""),"Tinguiririca Valley in Chile")</f>
        <v>Tinguiririca Valley in Chile</v>
      </c>
      <c r="N150" s="6" t="str">
        <f ca="1">IFERROR(__xludf.DUMMYFUNCTION("""COMPUTED_VALUE"""),"This project produces 155MW of hydropower energy for Chile. It is part of a series of hydropower projects that were at least partially owned by Pacific Hydro, which is now a part of Chinese state-owned company SPIC. It was developed by the Chilean power g"&amp;"enerator Tinguirica Energis, which is owned by Pacific Hydro and Norway's SN Power. It is a run-of-the river hydropower plant located in the O'Higgins region of Chile that entered into operation in 2010. Its annual production is 761 GWh. It is owned by St"&amp;"atkraft and Pacific Hydro, each of which has a 50% share in the project.")</f>
        <v>This project produces 155MW of hydropower energy for Chile. It is part of a series of hydropower projects that were at least partially owned by Pacific Hydro, which is now a part of Chinese state-owned company SPIC. It was developed by the Chilean power generator Tinguirica Energis, which is owned by Pacific Hydro and Norway's SN Power. It is a run-of-the river hydropower plant located in the O'Higgins region of Chile that entered into operation in 2010. Its annual production is 761 GWh. It is owned by Statkraft and Pacific Hydro, each of which has a 50% share in the project.</v>
      </c>
      <c r="O150" s="6" t="str">
        <f ca="1">IFERROR(__xludf.DUMMYFUNCTION("""COMPUTED_VALUE"""),"00/00/2006")</f>
        <v>00/00/2006</v>
      </c>
      <c r="P150" s="6" t="str">
        <f ca="1">IFERROR(__xludf.DUMMYFUNCTION("""COMPUTED_VALUE"""),"00/00/2010")</f>
        <v>00/00/2010</v>
      </c>
      <c r="Q150" s="6" t="str">
        <f ca="1">IFERROR(__xludf.DUMMYFUNCTION("""COMPUTED_VALUE"""),"Completed")</f>
        <v>Completed</v>
      </c>
      <c r="R150" s="6" t="str">
        <f ca="1">IFERROR(__xludf.DUMMYFUNCTION("""COMPUTED_VALUE"""),"DAM")</f>
        <v>DAM</v>
      </c>
      <c r="S150" s="9" t="str">
        <f ca="1">IFERROR(__xludf.DUMMYFUNCTION("""COMPUTED_VALUE"""),"https://gist.github.com/ysun15/7d3b645181d5f318f7fbedfb012b3c61")</f>
        <v>https://gist.github.com/ysun15/7d3b645181d5f318f7fbedfb012b3c61</v>
      </c>
      <c r="T150" s="6" t="str">
        <f ca="1">IFERROR(__xludf.DUMMYFUNCTION("""COMPUTED_VALUE"""),"DAM")</f>
        <v>DAM</v>
      </c>
      <c r="U150" s="6" t="str">
        <f ca="1">IFERROR(__xludf.DUMMYFUNCTION("""COMPUTED_VALUE"""),"find location based on: http://globalenergyobservatory.org/geoid/44565
use google map images to geocode")</f>
        <v>find location based on: http://globalenergyobservatory.org/geoid/44565
use google map images to geocode</v>
      </c>
      <c r="V150" s="6"/>
      <c r="W150" s="6" t="str">
        <f ca="1">IFERROR(__xludf.DUMMYFUNCTION("""COMPUTED_VALUE"""),"O'Higgins")</f>
        <v>O'Higgins</v>
      </c>
      <c r="X150" s="6"/>
      <c r="Y150" s="6"/>
      <c r="Z150" s="6"/>
      <c r="AA150" s="6"/>
      <c r="AB150" s="6"/>
      <c r="AC150" s="6"/>
      <c r="AD150" s="6"/>
      <c r="AE150" s="6"/>
      <c r="AF150" s="6"/>
      <c r="AG150" s="6"/>
    </row>
    <row r="151" spans="1:33" ht="79.2" x14ac:dyDescent="0.25">
      <c r="A151" s="6">
        <f ca="1">IFERROR(__xludf.DUMMYFUNCTION("""COMPUTED_VALUE"""),172)</f>
        <v>172</v>
      </c>
      <c r="B151" s="6">
        <f ca="1">IFERROR(__xludf.DUMMYFUNCTION("""COMPUTED_VALUE"""),3)</f>
        <v>3</v>
      </c>
      <c r="C151" s="6" t="str">
        <f ca="1">IFERROR(__xludf.DUMMYFUNCTION("""COMPUTED_VALUE"""),"La Confluencia Hydropower Project")</f>
        <v>La Confluencia Hydropower Project</v>
      </c>
      <c r="D151" s="6" t="str">
        <f ca="1">IFERROR(__xludf.DUMMYFUNCTION("""COMPUTED_VALUE"""),"Other Institution")</f>
        <v>Other Institution</v>
      </c>
      <c r="E151" s="6" t="str">
        <f ca="1">IFERROR(__xludf.DUMMYFUNCTION("""COMPUTED_VALUE"""),"Pacific Hydro (funded before SPIC acquired it)")</f>
        <v>Pacific Hydro (funded before SPIC acquired it)</v>
      </c>
      <c r="F151" s="6" t="str">
        <f ca="1">IFERROR(__xludf.DUMMYFUNCTION("""COMPUTED_VALUE"""),"Chilean power generator Tinguirica Energia, which is owned by Pacific Hydro and Norway's SN Power(Statkraft)")</f>
        <v>Chilean power generator Tinguirica Energia, which is owned by Pacific Hydro and Norway's SN Power(Statkraft)</v>
      </c>
      <c r="G151" s="6">
        <f ca="1">IFERROR(__xludf.DUMMYFUNCTION("""COMPUTED_VALUE"""),9)</f>
        <v>9</v>
      </c>
      <c r="H151" s="6" t="str">
        <f ca="1">IFERROR(__xludf.DUMMYFUNCTION("""COMPUTED_VALUE"""),"Energy - sustainable")</f>
        <v>Energy - sustainable</v>
      </c>
      <c r="I151" s="6" t="str">
        <f ca="1">IFERROR(__xludf.DUMMYFUNCTION("""COMPUTED_VALUE"""),"Vague")</f>
        <v>Vague</v>
      </c>
      <c r="J151" s="6" t="str">
        <f ca="1">IFERROR(__xludf.DUMMYFUNCTION("""COMPUTED_VALUE"""),"N/A")</f>
        <v>N/A</v>
      </c>
      <c r="K151" s="6" t="str">
        <f ca="1">IFERROR(__xludf.DUMMYFUNCTION("""COMPUTED_VALUE"""),"CHL")</f>
        <v>CHL</v>
      </c>
      <c r="L151" s="6" t="str">
        <f ca="1">IFERROR(__xludf.DUMMYFUNCTION("""COMPUTED_VALUE"""),"Chile")</f>
        <v>Chile</v>
      </c>
      <c r="M151" s="6" t="str">
        <f ca="1">IFERROR(__xludf.DUMMYFUNCTION("""COMPUTED_VALUE"""),"Tinguiririca Valley in Chile in the Andes Mountains")</f>
        <v>Tinguiririca Valley in Chile in the Andes Mountains</v>
      </c>
      <c r="N151" s="6" t="str">
        <f ca="1">IFERROR(__xludf.DUMMYFUNCTION("""COMPUTED_VALUE"""),"This project has an installed capacity of about 163 MW of hydopower energy. It began commercially operating in 2010 and is in the Tinguiririca valley in the south of the Metropolitan Region in Chile. It was developed by the Chilean power generator Tinguir"&amp;"ica Energis, which is owned by Pacific Hydro and Norway's SN Power. La Confluencia is a run-of-river project located about 160km SE of Santiago in the region of O'Higgins.")</f>
        <v>This project has an installed capacity of about 163 MW of hydopower energy. It began commercially operating in 2010 and is in the Tinguiririca valley in the south of the Metropolitan Region in Chile. It was developed by the Chilean power generator Tinguirica Energis, which is owned by Pacific Hydro and Norway's SN Power. La Confluencia is a run-of-river project located about 160km SE of Santiago in the region of O'Higgins.</v>
      </c>
      <c r="O151" s="6" t="str">
        <f ca="1">IFERROR(__xludf.DUMMYFUNCTION("""COMPUTED_VALUE"""),"00/00/2006")</f>
        <v>00/00/2006</v>
      </c>
      <c r="P151" s="6" t="str">
        <f ca="1">IFERROR(__xludf.DUMMYFUNCTION("""COMPUTED_VALUE"""),"00/00/2010")</f>
        <v>00/00/2010</v>
      </c>
      <c r="Q151" s="6" t="str">
        <f ca="1">IFERROR(__xludf.DUMMYFUNCTION("""COMPUTED_VALUE"""),"Completed")</f>
        <v>Completed</v>
      </c>
      <c r="R151" s="6" t="str">
        <f ca="1">IFERROR(__xludf.DUMMYFUNCTION("""COMPUTED_VALUE"""),"DAM")</f>
        <v>DAM</v>
      </c>
      <c r="S151" s="9" t="str">
        <f ca="1">IFERROR(__xludf.DUMMYFUNCTION("""COMPUTED_VALUE"""),"https://gist.github.com/ysun15/0c11436bd8a14512af504662a51b4ad1")</f>
        <v>https://gist.github.com/ysun15/0c11436bd8a14512af504662a51b4ad1</v>
      </c>
      <c r="T151" s="6" t="str">
        <f ca="1">IFERROR(__xludf.DUMMYFUNCTION("""COMPUTED_VALUE"""),"DAM")</f>
        <v>DAM</v>
      </c>
      <c r="U151" s="6" t="str">
        <f ca="1">IFERROR(__xludf.DUMMYFUNCTION("""COMPUTED_VALUE"""),"find location based on:
http://globalenergyobservatory.org/geoid/44566
project construction:
https://www.hydropower.org/sediment-management-case-studies/chile-la-confluencia ")</f>
        <v xml:space="preserve">find location based on:
http://globalenergyobservatory.org/geoid/44566
project construction:
https://www.hydropower.org/sediment-management-case-studies/chile-la-confluencia </v>
      </c>
      <c r="V151" s="6" t="str">
        <f ca="1">IFERROR(__xludf.DUMMYFUNCTION("""COMPUTED_VALUE"""),"Yes (Both)")</f>
        <v>Yes (Both)</v>
      </c>
      <c r="W151" s="6" t="str">
        <f ca="1">IFERROR(__xludf.DUMMYFUNCTION("""COMPUTED_VALUE"""),"O'Higgins")</f>
        <v>O'Higgins</v>
      </c>
      <c r="X151" s="6"/>
      <c r="Y151" s="6"/>
      <c r="Z151" s="6"/>
      <c r="AA151" s="6"/>
      <c r="AB151" s="6"/>
      <c r="AC151" s="6"/>
      <c r="AD151" s="6"/>
      <c r="AE151" s="6"/>
      <c r="AF151" s="6"/>
      <c r="AG151" s="6"/>
    </row>
    <row r="152" spans="1:33" ht="92.4" x14ac:dyDescent="0.25">
      <c r="A152" s="6">
        <f ca="1">IFERROR(__xludf.DUMMYFUNCTION("""COMPUTED_VALUE"""),174)</f>
        <v>174</v>
      </c>
      <c r="B152" s="6">
        <f ca="1">IFERROR(__xludf.DUMMYFUNCTION("""COMPUTED_VALUE"""),3)</f>
        <v>3</v>
      </c>
      <c r="C152" s="6" t="str">
        <f ca="1">IFERROR(__xludf.DUMMYFUNCTION("""COMPUTED_VALUE"""),"Chicoasen II Project")</f>
        <v>Chicoasen II Project</v>
      </c>
      <c r="D152" s="6" t="str">
        <f ca="1">IFERROR(__xludf.DUMMYFUNCTION("""COMPUTED_VALUE"""),"Other Institution")</f>
        <v>Other Institution</v>
      </c>
      <c r="E152" s="6" t="str">
        <f ca="1">IFERROR(__xludf.DUMMYFUNCTION("""COMPUTED_VALUE"""),"Mexican state power company CFE")</f>
        <v>Mexican state power company CFE</v>
      </c>
      <c r="F152" s="6" t="str">
        <f ca="1">IFERROR(__xludf.DUMMYFUNCTION("""COMPUTED_VALUE"""),"PowerChina - Sinohydro Costa Rica")</f>
        <v>PowerChina - Sinohydro Costa Rica</v>
      </c>
      <c r="G152" s="6">
        <f ca="1">IFERROR(__xludf.DUMMYFUNCTION("""COMPUTED_VALUE"""),7)</f>
        <v>7</v>
      </c>
      <c r="H152" s="6" t="str">
        <f ca="1">IFERROR(__xludf.DUMMYFUNCTION("""COMPUTED_VALUE"""),"Energy - sustainable")</f>
        <v>Energy - sustainable</v>
      </c>
      <c r="I152" s="6" t="str">
        <f ca="1">IFERROR(__xludf.DUMMYFUNCTION("""COMPUTED_VALUE"""),"Contract")</f>
        <v>Contract</v>
      </c>
      <c r="J152" s="6" t="str">
        <f ca="1">IFERROR(__xludf.DUMMYFUNCTION("""COMPUTED_VALUE"""),"$386,400,000 USD")</f>
        <v>$386,400,000 USD</v>
      </c>
      <c r="K152" s="6" t="str">
        <f ca="1">IFERROR(__xludf.DUMMYFUNCTION("""COMPUTED_VALUE"""),"MEX")</f>
        <v>MEX</v>
      </c>
      <c r="L152" s="6" t="str">
        <f ca="1">IFERROR(__xludf.DUMMYFUNCTION("""COMPUTED_VALUE"""),"Mexico")</f>
        <v>Mexico</v>
      </c>
      <c r="M152" s="6" t="str">
        <f ca="1">IFERROR(__xludf.DUMMYFUNCTION("""COMPUTED_VALUE"""),"43 km north of Chiapas’ capital Tuxtla Gutiérrez, on the right bank of the Grijalva River, 8.5 km downstream of Chicoasén I")</f>
        <v>43 km north of Chiapas’ capital Tuxtla Gutiérrez, on the right bank of the Grijalva River, 8.5 km downstream of Chicoasén I</v>
      </c>
      <c r="N152" s="6" t="str">
        <f ca="1">IFERROR(__xludf.DUMMYFUNCTION("""COMPUTED_VALUE"""),"Chicoasen II project will produce 240 MW of energy and cost 386.4 million USD. In January 2015, the Mexican state power company CFE awarded the construction contract of Chicoasen II to a consortium including China's state-owned Sinohydro (the Costa Rica u"&amp;"nit); Omega Construcciones, Desarrollos y  Construciones Urbanos; and CAABSA Infraestructura. Chicoasen II is expected to provide 537,000 homes with electricity in the southern state of Chiapas. The project is due to be built in an estimated 42 months. Wo"&amp;"rk began in 2015, but CFE suspended the work indefinitely in July 2018 due to issues with labor rights. The Mexican government hopes construction will resume by 2024, with Mexican President Andrés Manuel López Obrador promising a btter protection of human"&amp;" rights once construction resumes. ")</f>
        <v xml:space="preserve">Chicoasen II project will produce 240 MW of energy and cost 386.4 million USD. In January 2015, the Mexican state power company CFE awarded the construction contract of Chicoasen II to a consortium including China's state-owned Sinohydro (the Costa Rica unit); Omega Construcciones, Desarrollos y  Construciones Urbanos; and CAABSA Infraestructura. Chicoasen II is expected to provide 537,000 homes with electricity in the southern state of Chiapas. The project is due to be built in an estimated 42 months. Work began in 2015, but CFE suspended the work indefinitely in July 2018 due to issues with labor rights. The Mexican government hopes construction will resume by 2024, with Mexican President Andrés Manuel López Obrador promising a btter protection of human rights once construction resumes. </v>
      </c>
      <c r="O152" s="6">
        <f ca="1">IFERROR(__xludf.DUMMYFUNCTION("""COMPUTED_VALUE"""),2015)</f>
        <v>2015</v>
      </c>
      <c r="P152" s="6" t="str">
        <f ca="1">IFERROR(__xludf.DUMMYFUNCTION("""COMPUTED_VALUE"""),"N?A")</f>
        <v>N?A</v>
      </c>
      <c r="Q152" s="6" t="str">
        <f ca="1">IFERROR(__xludf.DUMMYFUNCTION("""COMPUTED_VALUE"""),"Under construction - delayed")</f>
        <v>Under construction - delayed</v>
      </c>
      <c r="R152" s="6" t="str">
        <f ca="1">IFERROR(__xludf.DUMMYFUNCTION("""COMPUTED_VALUE"""),"DAM")</f>
        <v>DAM</v>
      </c>
      <c r="S152" s="9" t="str">
        <f ca="1">IFERROR(__xludf.DUMMYFUNCTION("""COMPUTED_VALUE"""),"https://gist.github.com/Remy2020/452113a67dbd56914ac309303764bf93")</f>
        <v>https://gist.github.com/Remy2020/452113a67dbd56914ac309303764bf93</v>
      </c>
      <c r="T152" s="6" t="str">
        <f ca="1">IFERROR(__xludf.DUMMYFUNCTION("""COMPUTED_VALUE"""),"BLOB")</f>
        <v>BLOB</v>
      </c>
      <c r="U152" s="9" t="str">
        <f ca="1">IFERROR(__xludf.DUMMYFUNCTION("""COMPUTED_VALUE"""),"https://www.google.com/maps/search/Chicoasen+II+Hydroelectric+Plant+/@16.9856377,-93.1635486,959m/data=!3m1!1e3")</f>
        <v>https://www.google.com/maps/search/Chicoasen+II+Hydroelectric+Plant+/@16.9856377,-93.1635486,959m/data=!3m1!1e3</v>
      </c>
      <c r="V152" s="6" t="str">
        <f ca="1">IFERROR(__xludf.DUMMYFUNCTION("""COMPUTED_VALUE"""),"Yes (Both)")</f>
        <v>Yes (Both)</v>
      </c>
      <c r="W152" s="6" t="str">
        <f ca="1">IFERROR(__xludf.DUMMYFUNCTION("""COMPUTED_VALUE"""),"Chiapas")</f>
        <v>Chiapas</v>
      </c>
      <c r="X152" s="6"/>
      <c r="Y152" s="6"/>
      <c r="Z152" s="6"/>
      <c r="AA152" s="6"/>
      <c r="AB152" s="6"/>
      <c r="AC152" s="6"/>
      <c r="AD152" s="6"/>
      <c r="AE152" s="6"/>
      <c r="AF152" s="6"/>
      <c r="AG152" s="6"/>
    </row>
    <row r="153" spans="1:33" ht="92.4" x14ac:dyDescent="0.25">
      <c r="A153" s="6">
        <f ca="1">IFERROR(__xludf.DUMMYFUNCTION("""COMPUTED_VALUE"""),177)</f>
        <v>177</v>
      </c>
      <c r="B153" s="6">
        <f ca="1">IFERROR(__xludf.DUMMYFUNCTION("""COMPUTED_VALUE"""),4)</f>
        <v>4</v>
      </c>
      <c r="C153" s="6" t="str">
        <f ca="1">IFERROR(__xludf.DUMMYFUNCTION("""COMPUTED_VALUE"""),"Las Leñas Hydroplant Project")</f>
        <v>Las Leñas Hydroplant Project</v>
      </c>
      <c r="D153" s="6" t="str">
        <f ca="1">IFERROR(__xludf.DUMMYFUNCTION("""COMPUTED_VALUE"""),"Other Institution")</f>
        <v>Other Institution</v>
      </c>
      <c r="E153" s="6" t="str">
        <f ca="1">IFERROR(__xludf.DUMMYFUNCTION("""COMPUTED_VALUE"""),"Pacific Hydro")</f>
        <v>Pacific Hydro</v>
      </c>
      <c r="F153" s="6" t="str">
        <f ca="1">IFERROR(__xludf.DUMMYFUNCTION("""COMPUTED_VALUE"""),"Astaldi")</f>
        <v>Astaldi</v>
      </c>
      <c r="G153" s="6">
        <f ca="1">IFERROR(__xludf.DUMMYFUNCTION("""COMPUTED_VALUE"""),3)</f>
        <v>3</v>
      </c>
      <c r="H153" s="6" t="str">
        <f ca="1">IFERROR(__xludf.DUMMYFUNCTION("""COMPUTED_VALUE"""),"Energy - sustainable")</f>
        <v>Energy - sustainable</v>
      </c>
      <c r="I153" s="6" t="str">
        <f ca="1">IFERROR(__xludf.DUMMYFUNCTION("""COMPUTED_VALUE"""),"Contract")</f>
        <v>Contract</v>
      </c>
      <c r="J153" s="6" t="str">
        <f ca="1">IFERROR(__xludf.DUMMYFUNCTION("""COMPUTED_VALUE"""),"N/A")</f>
        <v>N/A</v>
      </c>
      <c r="K153" s="6" t="str">
        <f ca="1">IFERROR(__xludf.DUMMYFUNCTION("""COMPUTED_VALUE"""),"CHL")</f>
        <v>CHL</v>
      </c>
      <c r="L153" s="6" t="str">
        <f ca="1">IFERROR(__xludf.DUMMYFUNCTION("""COMPUTED_VALUE"""),"Chile")</f>
        <v>Chile</v>
      </c>
      <c r="M153" s="6" t="str">
        <f ca="1">IFERROR(__xludf.DUMMYFUNCTION("""COMPUTED_VALUE"""),"On the Cortaderal and Las Leñas rivers in the province of Cachapoal, Chile")</f>
        <v>On the Cortaderal and Las Leñas rivers in the province of Cachapoal, Chile</v>
      </c>
      <c r="N153" s="6" t="str">
        <f ca="1">IFERROR(__xludf.DUMMYFUNCTION("""COMPUTED_VALUE"""),"This hydroplant, combined with the Nido de Aguila project, will have an installed capacity of 282 MW. The project was proposed by Pacific Hydro and will be implemented by Italian construction company Astaldi. Pacific Hydro, which as of December 2015, is o"&amp;"wned by Chinese state-owned company State Power Investment Corporation (SPIC), is greatly involved in the funding of the project, with the HPP following the construction of the Chacayes dam and becoing a part of Pacific Hydro's deal with Astaldi. Original"&amp;"ly both Astaldi and Pacific Hydro appeared to have had 50% ownership in the project, but after the March 2017 deal where the Chacayes dam's full ownership was transitioned to Pacific Hydro, the ownership status of the Las Leñas dam may have changed as wel"&amp;"l. By itself, the dam is expected to have an installed capacity of around 100-140 MW. The status of construction is unknown. ")</f>
        <v xml:space="preserve">This hydroplant, combined with the Nido de Aguila project, will have an installed capacity of 282 MW. The project was proposed by Pacific Hydro and will be implemented by Italian construction company Astaldi. Pacific Hydro, which as of December 2015, is owned by Chinese state-owned company State Power Investment Corporation (SPIC), is greatly involved in the funding of the project, with the HPP following the construction of the Chacayes dam and becoing a part of Pacific Hydro's deal with Astaldi. Originally both Astaldi and Pacific Hydro appeared to have had 50% ownership in the project, but after the March 2017 deal where the Chacayes dam's full ownership was transitioned to Pacific Hydro, the ownership status of the Las Leñas dam may have changed as well. By itself, the dam is expected to have an installed capacity of around 100-140 MW. The status of construction is unknown. </v>
      </c>
      <c r="O153" s="6" t="str">
        <f ca="1">IFERROR(__xludf.DUMMYFUNCTION("""COMPUTED_VALUE"""),"00/00/2015")</f>
        <v>00/00/2015</v>
      </c>
      <c r="P153" s="6" t="str">
        <f ca="1">IFERROR(__xludf.DUMMYFUNCTION("""COMPUTED_VALUE"""),"N/A")</f>
        <v>N/A</v>
      </c>
      <c r="Q153" s="6" t="str">
        <f ca="1">IFERROR(__xludf.DUMMYFUNCTION("""COMPUTED_VALUE"""),"Under construction - unknown")</f>
        <v>Under construction - unknown</v>
      </c>
      <c r="R153" s="6" t="str">
        <f ca="1">IFERROR(__xludf.DUMMYFUNCTION("""COMPUTED_VALUE"""),"DAM")</f>
        <v>DAM</v>
      </c>
      <c r="S153" s="6" t="str">
        <f ca="1">IFERROR(__xludf.DUMMYFUNCTION("""COMPUTED_VALUE"""),"CHL-ADM2-3_0_0-B23")</f>
        <v>CHL-ADM2-3_0_0-B23</v>
      </c>
      <c r="T153" s="6" t="str">
        <f ca="1">IFERROR(__xludf.DUMMYFUNCTION("""COMPUTED_VALUE"""),"BLOB")</f>
        <v>BLOB</v>
      </c>
      <c r="U153" s="6" t="str">
        <f ca="1">IFERROR(__xludf.DUMMYFUNCTION("""COMPUTED_VALUE"""),"https://baraona.cl/en/pacific-hydro-chile-s-a-s-acquisition-of-100-stake-in-chacayes-hydroelectric-power-plant/ | https://mcmjac.com/what-we-do/projects/nido-de-aguila-hydropower/ ")</f>
        <v xml:space="preserve">https://baraona.cl/en/pacific-hydro-chile-s-a-s-acquisition-of-100-stake-in-chacayes-hydroelectric-power-plant/ | https://mcmjac.com/what-we-do/projects/nido-de-aguila-hydropower/ </v>
      </c>
      <c r="V153" s="6" t="str">
        <f ca="1">IFERROR(__xludf.DUMMYFUNCTION("""COMPUTED_VALUE"""),"Yes (Both)")</f>
        <v>Yes (Both)</v>
      </c>
      <c r="W153" s="6" t="str">
        <f ca="1">IFERROR(__xludf.DUMMYFUNCTION("""COMPUTED_VALUE"""),"O'Higgins")</f>
        <v>O'Higgins</v>
      </c>
      <c r="X153" s="6"/>
      <c r="Y153" s="6"/>
      <c r="Z153" s="6"/>
      <c r="AA153" s="6"/>
      <c r="AB153" s="6"/>
      <c r="AC153" s="6"/>
      <c r="AD153" s="6"/>
      <c r="AE153" s="6"/>
      <c r="AF153" s="6"/>
      <c r="AG153" s="6"/>
    </row>
    <row r="154" spans="1:33" ht="79.2" x14ac:dyDescent="0.25">
      <c r="A154" s="6">
        <f ca="1">IFERROR(__xludf.DUMMYFUNCTION("""COMPUTED_VALUE"""),178)</f>
        <v>178</v>
      </c>
      <c r="B154" s="6">
        <f ca="1">IFERROR(__xludf.DUMMYFUNCTION("""COMPUTED_VALUE"""),3)</f>
        <v>3</v>
      </c>
      <c r="C154" s="6" t="str">
        <f ca="1">IFERROR(__xludf.DUMMYFUNCTION("""COMPUTED_VALUE"""),"Jupiá Hydropower Station (Upgrade) and Ilha Solteira Hydropower Station (Upgrade)")</f>
        <v>Jupiá Hydropower Station (Upgrade) and Ilha Solteira Hydropower Station (Upgrade)</v>
      </c>
      <c r="D154" s="6" t="str">
        <f ca="1">IFERROR(__xludf.DUMMYFUNCTION("""COMPUTED_VALUE"""),"Other Institution")</f>
        <v>Other Institution</v>
      </c>
      <c r="E154" s="6" t="str">
        <f ca="1">IFERROR(__xludf.DUMMYFUNCTION("""COMPUTED_VALUE"""),"N/A ")</f>
        <v xml:space="preserve">N/A </v>
      </c>
      <c r="F154" s="6" t="str">
        <f ca="1">IFERROR(__xludf.DUMMYFUNCTION("""COMPUTED_VALUE"""),"China Three Gorges (CTG) - Brazil")</f>
        <v>China Three Gorges (CTG) - Brazil</v>
      </c>
      <c r="G154" s="6">
        <f ca="1">IFERROR(__xludf.DUMMYFUNCTION("""COMPUTED_VALUE"""),10)</f>
        <v>10</v>
      </c>
      <c r="H154" s="6" t="str">
        <f ca="1">IFERROR(__xludf.DUMMYFUNCTION("""COMPUTED_VALUE"""),"Energy - sustainable")</f>
        <v>Energy - sustainable</v>
      </c>
      <c r="I154" s="6" t="str">
        <f ca="1">IFERROR(__xludf.DUMMYFUNCTION("""COMPUTED_VALUE"""),"Investment")</f>
        <v>Investment</v>
      </c>
      <c r="J154" s="6" t="str">
        <f ca="1">IFERROR(__xludf.DUMMYFUNCTION("""COMPUTED_VALUE"""),"Total modernization investment for both proejcts will be 3 Billion Reais. One source says 3.66 Billion Reais. ")</f>
        <v xml:space="preserve">Total modernization investment for both proejcts will be 3 Billion Reais. One source says 3.66 Billion Reais. </v>
      </c>
      <c r="K154" s="6" t="str">
        <f ca="1">IFERROR(__xludf.DUMMYFUNCTION("""COMPUTED_VALUE"""),"BRA")</f>
        <v>BRA</v>
      </c>
      <c r="L154" s="6" t="str">
        <f ca="1">IFERROR(__xludf.DUMMYFUNCTION("""COMPUTED_VALUE"""),"Brazil")</f>
        <v>Brazil</v>
      </c>
      <c r="M154" s="6" t="str">
        <f ca="1">IFERROR(__xludf.DUMMYFUNCTION("""COMPUTED_VALUE"""),"Paraná River near Três Lagoas in Mato Grosso do Sul, Brazil")</f>
        <v>Paraná River near Três Lagoas in Mato Grosso do Sul, Brazil</v>
      </c>
      <c r="N154" s="6" t="str">
        <f ca="1">IFERROR(__xludf.DUMMYFUNCTION("""COMPUTED_VALUE"""),"These hydropwer stations belongs to São Paulo-based company Companhia Energética de São Paulo. In November 2015, the China Three Gorges won the concession for operating the stations. The first phase of this project was concluded in 2019, with the refurbis"&amp;"hment and modernization of four turbines - two in Jupiá and another two in Ilha Solteira - under an investment of BRL300 million. The second phase of the project, expected to be concluded in 2021 and budgeted at BRL 704 million, includes intervention in e"&amp;"ight generating units, as well as improvements to spillways and other auxiliary systems. In total, the 14 generating units in Jupiá and the 20 in Ilha Solteira will be modernized, which represents an unprecedented effort in the country. ")</f>
        <v xml:space="preserve">These hydropwer stations belongs to São Paulo-based company Companhia Energética de São Paulo. In November 2015, the China Three Gorges won the concession for operating the stations. The first phase of this project was concluded in 2019, with the refurbishment and modernization of four turbines - two in Jupiá and another two in Ilha Solteira - under an investment of BRL300 million. The second phase of the project, expected to be concluded in 2021 and budgeted at BRL 704 million, includes intervention in eight generating units, as well as improvements to spillways and other auxiliary systems. In total, the 14 generating units in Jupiá and the 20 in Ilha Solteira will be modernized, which represents an unprecedented effort in the country. </v>
      </c>
      <c r="O154" s="14">
        <f ca="1">IFERROR(__xludf.DUMMYFUNCTION("""COMPUTED_VALUE"""),42795)</f>
        <v>42795</v>
      </c>
      <c r="P154" s="6" t="str">
        <f ca="1">IFERROR(__xludf.DUMMYFUNCTION("""COMPUTED_VALUE"""),"N/A")</f>
        <v>N/A</v>
      </c>
      <c r="Q154" s="6" t="str">
        <f ca="1">IFERROR(__xludf.DUMMYFUNCTION("""COMPUTED_VALUE"""),"Under construction - unknown")</f>
        <v>Under construction - unknown</v>
      </c>
      <c r="R154" s="6" t="str">
        <f ca="1">IFERROR(__xludf.DUMMYFUNCTION("""COMPUTED_VALUE"""),"DAM")</f>
        <v>DAM</v>
      </c>
      <c r="S154" s="9" t="str">
        <f ca="1">IFERROR(__xludf.DUMMYFUNCTION("""COMPUTED_VALUE"""),"https://gist.github.com/Remy2020/59479bdcec31e6ec7994b9ddfc65bdbe")</f>
        <v>https://gist.github.com/Remy2020/59479bdcec31e6ec7994b9ddfc65bdbe</v>
      </c>
      <c r="T154" s="6" t="str">
        <f ca="1">IFERROR(__xludf.DUMMYFUNCTION("""COMPUTED_VALUE"""),"BLOB")</f>
        <v>BLOB</v>
      </c>
      <c r="U154" s="6" t="str">
        <f ca="1">IFERROR(__xludf.DUMMYFUNCTION("""COMPUTED_VALUE"""),"Googled location and followed google maps, Jupia Hydropower Station formally known as Engineer Souza Dias Dam. Usina Hidrelétrica Ilha Solteira Hydropower Station - CTG Brasil also known as Ilha Soteira ")</f>
        <v xml:space="preserve">Googled location and followed google maps, Jupia Hydropower Station formally known as Engineer Souza Dias Dam. Usina Hidrelétrica Ilha Solteira Hydropower Station - CTG Brasil also known as Ilha Soteira </v>
      </c>
      <c r="V154" s="6" t="str">
        <f ca="1">IFERROR(__xludf.DUMMYFUNCTION("""COMPUTED_VALUE"""),"Yes (Both)")</f>
        <v>Yes (Both)</v>
      </c>
      <c r="W154" s="6" t="str">
        <f ca="1">IFERROR(__xludf.DUMMYFUNCTION("""COMPUTED_VALUE"""),"São Paulo")</f>
        <v>São Paulo</v>
      </c>
      <c r="X154" s="6"/>
      <c r="Y154" s="6"/>
      <c r="Z154" s="6"/>
      <c r="AA154" s="6"/>
      <c r="AB154" s="6"/>
      <c r="AC154" s="6"/>
      <c r="AD154" s="6"/>
      <c r="AE154" s="6"/>
      <c r="AF154" s="6"/>
      <c r="AG154" s="6"/>
    </row>
    <row r="155" spans="1:33" ht="132" x14ac:dyDescent="0.25">
      <c r="A155" s="6">
        <f ca="1">IFERROR(__xludf.DUMMYFUNCTION("""COMPUTED_VALUE"""),180)</f>
        <v>180</v>
      </c>
      <c r="B155" s="6">
        <f ca="1">IFERROR(__xludf.DUMMYFUNCTION("""COMPUTED_VALUE"""),4)</f>
        <v>4</v>
      </c>
      <c r="C155" s="6" t="str">
        <f ca="1">IFERROR(__xludf.DUMMYFUNCTION("""COMPUTED_VALUE"""),"El Tambolar Hydropower Plant")</f>
        <v>El Tambolar Hydropower Plant</v>
      </c>
      <c r="D155" s="6" t="str">
        <f ca="1">IFERROR(__xludf.DUMMYFUNCTION("""COMPUTED_VALUE"""),"Other Chinese Institution")</f>
        <v>Other Chinese Institution</v>
      </c>
      <c r="E155" s="6" t="str">
        <f ca="1">IFERROR(__xludf.DUMMYFUNCTION("""COMPUTED_VALUE"""),"PowerChina's Sinohydro")</f>
        <v>PowerChina's Sinohydro</v>
      </c>
      <c r="F155" s="6" t="str">
        <f ca="1">IFERROR(__xludf.DUMMYFUNCTION("""COMPUTED_VALUE"""),"A consortium made up of Sinohydro and Argentine engineers from Panedile, SACD, and the Petersen, Thiele, &amp; Cruz Group")</f>
        <v>A consortium made up of Sinohydro and Argentine engineers from Panedile, SACD, and the Petersen, Thiele, &amp; Cruz Group</v>
      </c>
      <c r="G155" s="6">
        <f ca="1">IFERROR(__xludf.DUMMYFUNCTION("""COMPUTED_VALUE"""),7)</f>
        <v>7</v>
      </c>
      <c r="H155" s="6" t="str">
        <f ca="1">IFERROR(__xludf.DUMMYFUNCTION("""COMPUTED_VALUE"""),"Energy - sustainable")</f>
        <v>Energy - sustainable</v>
      </c>
      <c r="I155" s="6" t="str">
        <f ca="1">IFERROR(__xludf.DUMMYFUNCTION("""COMPUTED_VALUE"""),"Contract")</f>
        <v>Contract</v>
      </c>
      <c r="J155" s="6" t="str">
        <f ca="1">IFERROR(__xludf.DUMMYFUNCTION("""COMPUTED_VALUE"""),"$600,000,000 USD")</f>
        <v>$600,000,000 USD</v>
      </c>
      <c r="K155" s="6" t="str">
        <f ca="1">IFERROR(__xludf.DUMMYFUNCTION("""COMPUTED_VALUE"""),"ARG")</f>
        <v>ARG</v>
      </c>
      <c r="L155" s="6" t="str">
        <f ca="1">IFERROR(__xludf.DUMMYFUNCTION("""COMPUTED_VALUE"""),"Argentina")</f>
        <v>Argentina</v>
      </c>
      <c r="M155" s="6" t="str">
        <f ca="1">IFERROR(__xludf.DUMMYFUNCTION("""COMPUTED_VALUE"""),"On the San Juan River near the town of Pachaco, 145 km from the city of San Juan and 20 km upstream of the Los Caracoles dam.")</f>
        <v>On the San Juan River near the town of Pachaco, 145 km from the city of San Juan and 20 km upstream of the Los Caracoles dam.</v>
      </c>
      <c r="N155" s="6" t="str">
        <f ca="1">IFERROR(__xludf.DUMMYFUNCTION("""COMPUTED_VALUE"""),"This $600 million USD, 75MW hydropower plant is to be 85% funded by Chinese state-owned company PowerChina's subsidiary Sinohydro. The other 15% will be funded by the state government of Argentina. It will be implemented by a group of companies, including"&amp;" Sinohydro and engineers from Panedile, SACD, and the Petersen, Thiele, &amp; Cruz Group. It will be built on the San Juan River near the town of Pachaco and will be the fourth dam on the waterway after the Quebrada de Ullum, Punta Negra, and Los Caracoles hy"&amp;"dropower plants. The project will involve an access road from the Los Caracoles power plant, diversion channels for the San Juan River, a gravel concrete-faced dam with flood spillway and an open-air channel. The government of Argentina's San Juan provinc"&amp;"e and PowerChina signed an agreement for financing the project in October 2015 and expected it to take around 5 years to complete and create up to 1,300 jobs. In 2019, San Juan power company EPSE awarded its construction to the consortium of Sinohydro and"&amp;" Argentine engineers. Limited information about the project's current status suggests that construction has not yet completed.")</f>
        <v>This $600 million USD, 75MW hydropower plant is to be 85% funded by Chinese state-owned company PowerChina's subsidiary Sinohydro. The other 15% will be funded by the state government of Argentina. It will be implemented by a group of companies, including Sinohydro and engineers from Panedile, SACD, and the Petersen, Thiele, &amp; Cruz Group. It will be built on the San Juan River near the town of Pachaco and will be the fourth dam on the waterway after the Quebrada de Ullum, Punta Negra, and Los Caracoles hydropower plants. The project will involve an access road from the Los Caracoles power plant, diversion channels for the San Juan River, a gravel concrete-faced dam with flood spillway and an open-air channel. The government of Argentina's San Juan province and PowerChina signed an agreement for financing the project in October 2015 and expected it to take around 5 years to complete and create up to 1,300 jobs. In 2019, San Juan power company EPSE awarded its construction to the consortium of Sinohydro and Argentine engineers. Limited information about the project's current status suggests that construction has not yet completed.</v>
      </c>
      <c r="O155" s="6" t="str">
        <f ca="1">IFERROR(__xludf.DUMMYFUNCTION("""COMPUTED_VALUE"""),"10/00/2015")</f>
        <v>10/00/2015</v>
      </c>
      <c r="P155" s="6" t="str">
        <f ca="1">IFERROR(__xludf.DUMMYFUNCTION("""COMPUTED_VALUE"""),"N/A")</f>
        <v>N/A</v>
      </c>
      <c r="Q155" s="6" t="str">
        <f ca="1">IFERROR(__xludf.DUMMYFUNCTION("""COMPUTED_VALUE"""),"Under construction - unknown")</f>
        <v>Under construction - unknown</v>
      </c>
      <c r="R155" s="6" t="str">
        <f ca="1">IFERROR(__xludf.DUMMYFUNCTION("""COMPUTED_VALUE"""),"DAM")</f>
        <v>DAM</v>
      </c>
      <c r="S155" s="9" t="str">
        <f ca="1">IFERROR(__xludf.DUMMYFUNCTION("""COMPUTED_VALUE"""),"https://gist.github.com/Remy2020/e99b48ed8831fea334d724db9f9bf6f2")</f>
        <v>https://gist.github.com/Remy2020/e99b48ed8831fea334d724db9f9bf6f2</v>
      </c>
      <c r="T155" s="6" t="str">
        <f ca="1">IFERROR(__xludf.DUMMYFUNCTION("""COMPUTED_VALUE"""),"BLOB")</f>
        <v>BLOB</v>
      </c>
      <c r="U155" s="6" t="str">
        <f ca="1">IFERROR(__xludf.DUMMYFUNCTION("""COMPUTED_VALUE"""),"https://renewablesnow.com/news/argentinas-san-juan-inaugurates-3-mwp-solar-farm-732778/ |  https://epsesanjuan.com.ar/ingles/web/proyecto/el-tambolar-hydropower-plant/9 then followed using satellite imagery")</f>
        <v>https://renewablesnow.com/news/argentinas-san-juan-inaugurates-3-mwp-solar-farm-732778/ |  https://epsesanjuan.com.ar/ingles/web/proyecto/el-tambolar-hydropower-plant/9 then followed using satellite imagery</v>
      </c>
      <c r="V155" s="6" t="str">
        <f ca="1">IFERROR(__xludf.DUMMYFUNCTION("""COMPUTED_VALUE"""),"Yes (Both)")</f>
        <v>Yes (Both)</v>
      </c>
      <c r="W155" s="6" t="str">
        <f ca="1">IFERROR(__xludf.DUMMYFUNCTION("""COMPUTED_VALUE"""),"San Juan")</f>
        <v>San Juan</v>
      </c>
      <c r="X155" s="6"/>
      <c r="Y155" s="6"/>
      <c r="Z155" s="6"/>
      <c r="AA155" s="6"/>
      <c r="AB155" s="6"/>
      <c r="AC155" s="6"/>
      <c r="AD155" s="6"/>
      <c r="AE155" s="6"/>
      <c r="AF155" s="6"/>
      <c r="AG155" s="6"/>
    </row>
    <row r="156" spans="1:33" ht="171.6" x14ac:dyDescent="0.25">
      <c r="A156" s="6">
        <f ca="1">IFERROR(__xludf.DUMMYFUNCTION("""COMPUTED_VALUE"""),182)</f>
        <v>182</v>
      </c>
      <c r="B156" s="6">
        <f ca="1">IFERROR(__xludf.DUMMYFUNCTION("""COMPUTED_VALUE"""),3)</f>
        <v>3</v>
      </c>
      <c r="C156" s="6" t="str">
        <f ca="1">IFERROR(__xludf.DUMMYFUNCTION("""COMPUTED_VALUE"""),"Simón Bolívar Hydroelectric Plant - Guri Dam (Upgrades)")</f>
        <v>Simón Bolívar Hydroelectric Plant - Guri Dam (Upgrades)</v>
      </c>
      <c r="D156" s="6" t="str">
        <f ca="1">IFERROR(__xludf.DUMMYFUNCTION("""COMPUTED_VALUE"""),"Other Chinese Institution")</f>
        <v>Other Chinese Institution</v>
      </c>
      <c r="E156" s="6" t="str">
        <f ca="1">IFERROR(__xludf.DUMMYFUNCTION("""COMPUTED_VALUE"""),"Dongfang Electric Corporation")</f>
        <v>Dongfang Electric Corporation</v>
      </c>
      <c r="F156" s="6" t="str">
        <f ca="1">IFERROR(__xludf.DUMMYFUNCTION("""COMPUTED_VALUE"""),"Dongfang Electric Corporation")</f>
        <v>Dongfang Electric Corporation</v>
      </c>
      <c r="G156" s="6">
        <f ca="1">IFERROR(__xludf.DUMMYFUNCTION("""COMPUTED_VALUE"""),1.3)</f>
        <v>1.3</v>
      </c>
      <c r="H156" s="6" t="str">
        <f ca="1">IFERROR(__xludf.DUMMYFUNCTION("""COMPUTED_VALUE"""),"Energy - sustainable")</f>
        <v>Energy - sustainable</v>
      </c>
      <c r="I156" s="6" t="str">
        <f ca="1">IFERROR(__xludf.DUMMYFUNCTION("""COMPUTED_VALUE"""),"Investment")</f>
        <v>Investment</v>
      </c>
      <c r="J156" s="6" t="str">
        <f ca="1">IFERROR(__xludf.DUMMYFUNCTION("""COMPUTED_VALUE"""),"$1,300,000,000 USD")</f>
        <v>$1,300,000,000 USD</v>
      </c>
      <c r="K156" s="6" t="str">
        <f ca="1">IFERROR(__xludf.DUMMYFUNCTION("""COMPUTED_VALUE"""),"VEN")</f>
        <v>VEN</v>
      </c>
      <c r="L156" s="6" t="str">
        <f ca="1">IFERROR(__xludf.DUMMYFUNCTION("""COMPUTED_VALUE"""),"Venezuela")</f>
        <v>Venezuela</v>
      </c>
      <c r="M156" s="6" t="str">
        <f ca="1">IFERROR(__xludf.DUMMYFUNCTION("""COMPUTED_VALUE"""),"Bolívar State, Venezuela, on the Caroni River just before it pours into Orinoco")</f>
        <v>Bolívar State, Venezuela, on the Caroni River just before it pours into Orinoco</v>
      </c>
      <c r="N156" s="6" t="str">
        <f ca="1">IFERROR(__xludf.DUMMYFUNCTION("""COMPUTED_VALUE"""),"Corpoelec awarded a contract in 2014 to Chinese state-owned company Dongfang Electric Machinery Co. Ltd. to supply the equipment for comprehensive modernization of the six turbine-generators of the Simón Bolívar Hydroelectric Plant (Guri Dam). Upon comple"&amp;"tion in 60 months, the work is expected to increase the project’s 10,235 MW installed capacity by 885 MW. Before the upgrade, the dam had 20 turbines, capable of generating 45,000 GW of electricity annually. The Guri dam, together with the Macagua dam, is"&amp;" supposed to generate half of the 34,000 MW installed in Venezuela. However, Guri consistently failed to meet its expected output level.  The Venezuelan government blamed the failing water levels at Guri that prevented it from meeting this goal on the dro"&amp;"ught caused by the El Niño phenomenon. However, in 2010, former electricity company managers and experts began to point out the role of corruption, as well as the purchase of obsolete equipment and bad management in the award of contracts, in blackouts. T"&amp;"he blackouts could also be extremely dangerous, resulting in 79 deaths in hospitals between November 19th, 2018 and Febuary 9th, 2019. The deforestation and increase in mining around the dam have contributed to lower water levels, according to scientists "&amp;"and environmental experts. In March 2019, Venezuela suffered a 72-hour blackout; on March  9th, the US was blamed by Nicolás Maduro of carrying out a ""cyber-attack"" against the Gurireservoir. Due to limited reporting, the current construction status of "&amp;"the upgrade is vague.")</f>
        <v>Corpoelec awarded a contract in 2014 to Chinese state-owned company Dongfang Electric Machinery Co. Ltd. to supply the equipment for comprehensive modernization of the six turbine-generators of the Simón Bolívar Hydroelectric Plant (Guri Dam). Upon completion in 60 months, the work is expected to increase the project’s 10,235 MW installed capacity by 885 MW. Before the upgrade, the dam had 20 turbines, capable of generating 45,000 GW of electricity annually. The Guri dam, together with the Macagua dam, is supposed to generate half of the 34,000 MW installed in Venezuela. However, Guri consistently failed to meet its expected output level.  The Venezuelan government blamed the failing water levels at Guri that prevented it from meeting this goal on the drought caused by the El Niño phenomenon. However, in 2010, former electricity company managers and experts began to point out the role of corruption, as well as the purchase of obsolete equipment and bad management in the award of contracts, in blackouts. The blackouts could also be extremely dangerous, resulting in 79 deaths in hospitals between November 19th, 2018 and Febuary 9th, 2019. The deforestation and increase in mining around the dam have contributed to lower water levels, according to scientists and environmental experts. In March 2019, Venezuela suffered a 72-hour blackout; on March  9th, the US was blamed by Nicolás Maduro of carrying out a "cyber-attack" against the Gurireservoir. Due to limited reporting, the current construction status of the upgrade is vague.</v>
      </c>
      <c r="O156" s="6" t="str">
        <f ca="1">IFERROR(__xludf.DUMMYFUNCTION("""COMPUTED_VALUE"""),"00/00/2014")</f>
        <v>00/00/2014</v>
      </c>
      <c r="P156" s="6" t="str">
        <f ca="1">IFERROR(__xludf.DUMMYFUNCTION("""COMPUTED_VALUE"""),"N/A")</f>
        <v>N/A</v>
      </c>
      <c r="Q156" s="6" t="str">
        <f ca="1">IFERROR(__xludf.DUMMYFUNCTION("""COMPUTED_VALUE"""),"Under construction - unknown")</f>
        <v>Under construction - unknown</v>
      </c>
      <c r="R156" s="6" t="str">
        <f ca="1">IFERROR(__xludf.DUMMYFUNCTION("""COMPUTED_VALUE"""),"DAM")</f>
        <v>DAM</v>
      </c>
      <c r="S156" s="9" t="str">
        <f ca="1">IFERROR(__xludf.DUMMYFUNCTION("""COMPUTED_VALUE"""),"https://gist.github.com/Remy2020/e502d7235104d3ef56c5b433e105e620")</f>
        <v>https://gist.github.com/Remy2020/e502d7235104d3ef56c5b433e105e620</v>
      </c>
      <c r="T156" s="6" t="str">
        <f ca="1">IFERROR(__xludf.DUMMYFUNCTION("""COMPUTED_VALUE"""),"BLOB")</f>
        <v>BLOB</v>
      </c>
      <c r="U156" s="6" t="str">
        <f ca="1">IFERROR(__xludf.DUMMYFUNCTION("""COMPUTED_VALUE"""),"Googled ""Simón Bolívar Hydroelectric Plant - Guri Dam"" and followed google maps")</f>
        <v>Googled "Simón Bolívar Hydroelectric Plant - Guri Dam" and followed google maps</v>
      </c>
      <c r="V156" s="6" t="str">
        <f ca="1">IFERROR(__xludf.DUMMYFUNCTION("""COMPUTED_VALUE"""),"Yes (Both)")</f>
        <v>Yes (Both)</v>
      </c>
      <c r="W156" s="6" t="str">
        <f ca="1">IFERROR(__xludf.DUMMYFUNCTION("""COMPUTED_VALUE"""),"Bolívar")</f>
        <v>Bolívar</v>
      </c>
      <c r="X156" s="6"/>
      <c r="Y156" s="6"/>
      <c r="Z156" s="6"/>
      <c r="AA156" s="6"/>
      <c r="AB156" s="6"/>
      <c r="AC156" s="6"/>
      <c r="AD156" s="6"/>
      <c r="AE156" s="6"/>
      <c r="AF156" s="6"/>
      <c r="AG156" s="6"/>
    </row>
    <row r="157" spans="1:33" ht="118.8" x14ac:dyDescent="0.25">
      <c r="A157" s="6">
        <f ca="1">IFERROR(__xludf.DUMMYFUNCTION("""COMPUTED_VALUE"""),191)</f>
        <v>191</v>
      </c>
      <c r="B157" s="6">
        <f ca="1">IFERROR(__xludf.DUMMYFUNCTION("""COMPUTED_VALUE"""),5)</f>
        <v>5</v>
      </c>
      <c r="C157" s="6" t="str">
        <f ca="1">IFERROR(__xludf.DUMMYFUNCTION("""COMPUTED_VALUE"""),"Amaila Falls Project")</f>
        <v>Amaila Falls Project</v>
      </c>
      <c r="D157" s="6" t="str">
        <f ca="1">IFERROR(__xludf.DUMMYFUNCTION("""COMPUTED_VALUE"""),"CDB")</f>
        <v>CDB</v>
      </c>
      <c r="E157" s="6" t="str">
        <f ca="1">IFERROR(__xludf.DUMMYFUNCTION("""COMPUTED_VALUE"""),"China Railway First Group")</f>
        <v>China Railway First Group</v>
      </c>
      <c r="F157" s="6" t="str">
        <f ca="1">IFERROR(__xludf.DUMMYFUNCTION("""COMPUTED_VALUE"""),"China Railway First Group (engineering contract), Sithe Global (lead developer)")</f>
        <v>China Railway First Group (engineering contract), Sithe Global (lead developer)</v>
      </c>
      <c r="G157" s="6">
        <f ca="1">IFERROR(__xludf.DUMMYFUNCTION("""COMPUTED_VALUE"""),9)</f>
        <v>9</v>
      </c>
      <c r="H157" s="6" t="str">
        <f ca="1">IFERROR(__xludf.DUMMYFUNCTION("""COMPUTED_VALUE"""),"Energy - sustainable")</f>
        <v>Energy - sustainable</v>
      </c>
      <c r="I157" s="6" t="str">
        <f ca="1">IFERROR(__xludf.DUMMYFUNCTION("""COMPUTED_VALUE"""),"Contract")</f>
        <v>Contract</v>
      </c>
      <c r="J157" s="6" t="str">
        <f ca="1">IFERROR(__xludf.DUMMYFUNCTION("""COMPUTED_VALUE"""),"$506,000,000 USD")</f>
        <v>$506,000,000 USD</v>
      </c>
      <c r="K157" s="6" t="str">
        <f ca="1">IFERROR(__xludf.DUMMYFUNCTION("""COMPUTED_VALUE"""),"GUY")</f>
        <v>GUY</v>
      </c>
      <c r="L157" s="6" t="str">
        <f ca="1">IFERROR(__xludf.DUMMYFUNCTION("""COMPUTED_VALUE"""),"Guyana")</f>
        <v>Guyana</v>
      </c>
      <c r="M157" s="6" t="str">
        <f ca="1">IFERROR(__xludf.DUMMYFUNCTION("""COMPUTED_VALUE"""),"250 km SW of the capital city, Georgetown, on the Kuribrong River")</f>
        <v>250 km SW of the capital city, Georgetown, on the Kuribrong River</v>
      </c>
      <c r="N157" s="6" t="str">
        <f ca="1">IFERROR(__xludf.DUMMYFUNCTION("""COMPUTED_VALUE"""),"The agreement to construct the Amalia Falls hydroelectric plant (165 MW) was signed in September 2012 and was set to begin in 2013; currently, it is on hold. The project could only begin once roads were constructed because of the country's dense forests, "&amp;"which underwent several delays. Guyana had been pushing the Low-Carbon Development Strategy, aimed to build smaller-scale “micro-hydropower” projects on the Chiung River (supported by the European Union). Guyana Power and Light, the state-owned electricit"&amp;"y company, will have to spend $100 million yearly on the Amalia consortium. In normal years, the plant runs below capacity from May to October; the government's opposition party claims that the project isn't as beneficial as it is costly. In 2017, the Guy"&amp;"anese government abandoned plans to develop the hydroelectric plant due to delays and ""cost overuns."" The project includes more than just they power plant, constructing a 13.8KV Transmission Network and a 120V Distribution Network that will provide the "&amp;"people of Kato (a village) and the local secondary school with a stable source of electricity.")</f>
        <v>The agreement to construct the Amalia Falls hydroelectric plant (165 MW) was signed in September 2012 and was set to begin in 2013; currently, it is on hold. The project could only begin once roads were constructed because of the country's dense forests, which underwent several delays. Guyana had been pushing the Low-Carbon Development Strategy, aimed to build smaller-scale “micro-hydropower” projects on the Chiung River (supported by the European Union). Guyana Power and Light, the state-owned electricity company, will have to spend $100 million yearly on the Amalia consortium. In normal years, the plant runs below capacity from May to October; the government's opposition party claims that the project isn't as beneficial as it is costly. In 2017, the Guyanese government abandoned plans to develop the hydroelectric plant due to delays and "cost overuns." The project includes more than just they power plant, constructing a 13.8KV Transmission Network and a 120V Distribution Network that will provide the people of Kato (a village) and the local secondary school with a stable source of electricity.</v>
      </c>
      <c r="O157" s="6">
        <f ca="1">IFERROR(__xludf.DUMMYFUNCTION("""COMPUTED_VALUE"""),2013)</f>
        <v>2013</v>
      </c>
      <c r="P157" s="6" t="str">
        <f ca="1">IFERROR(__xludf.DUMMYFUNCTION("""COMPUTED_VALUE"""),"N/A")</f>
        <v>N/A</v>
      </c>
      <c r="Q157" s="6" t="str">
        <f ca="1">IFERROR(__xludf.DUMMYFUNCTION("""COMPUTED_VALUE"""),"Delayed")</f>
        <v>Delayed</v>
      </c>
      <c r="R157" s="6" t="str">
        <f ca="1">IFERROR(__xludf.DUMMYFUNCTION("""COMPUTED_VALUE"""),"DAM")</f>
        <v>DAM</v>
      </c>
      <c r="S157" s="6" t="str">
        <f ca="1">IFERROR(__xludf.DUMMYFUNCTION("""COMPUTED_VALUE"""),"GUY-ADM1-3_0_0-B6")</f>
        <v>GUY-ADM1-3_0_0-B6</v>
      </c>
      <c r="T157" s="6" t="str">
        <f ca="1">IFERROR(__xludf.DUMMYFUNCTION("""COMPUTED_VALUE"""),"ADM1")</f>
        <v>ADM1</v>
      </c>
      <c r="U157" s="6" t="str">
        <f ca="1">IFERROR(__xludf.DUMMYFUNCTION("""COMPUTED_VALUE"""),"https://www.hydroreview.com/world-regions/guyana-nixes-plans-for-165-mw-amaila-falls-hydropower-project/ and folloewd google maps")</f>
        <v>https://www.hydroreview.com/world-regions/guyana-nixes-plans-for-165-mw-amaila-falls-hydropower-project/ and folloewd google maps</v>
      </c>
      <c r="V157" s="6" t="str">
        <f ca="1">IFERROR(__xludf.DUMMYFUNCTION("""COMPUTED_VALUE"""),"Yes (Both)")</f>
        <v>Yes (Both)</v>
      </c>
      <c r="W157" s="6" t="str">
        <f ca="1">IFERROR(__xludf.DUMMYFUNCTION("""COMPUTED_VALUE"""),"Potaro-Siparuni")</f>
        <v>Potaro-Siparuni</v>
      </c>
      <c r="X157" s="6"/>
      <c r="Y157" s="6"/>
      <c r="Z157" s="6"/>
      <c r="AA157" s="6"/>
      <c r="AB157" s="6"/>
      <c r="AC157" s="6"/>
      <c r="AD157" s="6"/>
      <c r="AE157" s="6"/>
      <c r="AF157" s="6"/>
      <c r="AG157" s="6"/>
    </row>
    <row r="158" spans="1:33" ht="132" x14ac:dyDescent="0.25">
      <c r="A158" s="6">
        <f ca="1">IFERROR(__xludf.DUMMYFUNCTION("""COMPUTED_VALUE"""),193)</f>
        <v>193</v>
      </c>
      <c r="B158" s="6">
        <f ca="1">IFERROR(__xludf.DUMMYFUNCTION("""COMPUTED_VALUE"""),3)</f>
        <v>3</v>
      </c>
      <c r="C158" s="6" t="str">
        <f ca="1">IFERROR(__xludf.DUMMYFUNCTION("""COMPUTED_VALUE"""),"Tumatumari Hydropower Station")</f>
        <v>Tumatumari Hydropower Station</v>
      </c>
      <c r="D158" s="6" t="str">
        <f ca="1">IFERROR(__xludf.DUMMYFUNCTION("""COMPUTED_VALUE"""),"Other Chinese Institution")</f>
        <v>Other Chinese Institution</v>
      </c>
      <c r="E158" s="6" t="str">
        <f ca="1">IFERROR(__xludf.DUMMYFUNCTION("""COMPUTED_VALUE"""),"Chongqing Water Turbine Works Co.")</f>
        <v>Chongqing Water Turbine Works Co.</v>
      </c>
      <c r="F158" s="6" t="str">
        <f ca="1">IFERROR(__xludf.DUMMYFUNCTION("""COMPUTED_VALUE"""),"Chongqing Water Turbine Works Co. and Tumatumari Hydro Inc.")</f>
        <v>Chongqing Water Turbine Works Co. and Tumatumari Hydro Inc.</v>
      </c>
      <c r="G158" s="6">
        <f ca="1">IFERROR(__xludf.DUMMYFUNCTION("""COMPUTED_VALUE"""),9)</f>
        <v>9</v>
      </c>
      <c r="H158" s="6" t="str">
        <f ca="1">IFERROR(__xludf.DUMMYFUNCTION("""COMPUTED_VALUE"""),"Energy - sustainable")</f>
        <v>Energy - sustainable</v>
      </c>
      <c r="I158" s="6" t="str">
        <f ca="1">IFERROR(__xludf.DUMMYFUNCTION("""COMPUTED_VALUE"""),"Loan")</f>
        <v>Loan</v>
      </c>
      <c r="J158" s="6" t="str">
        <f ca="1">IFERROR(__xludf.DUMMYFUNCTION("""COMPUTED_VALUE"""),"$4,600,000 USD (with $3,600,000 from Chongqing Water Turbine Works Co.) ")</f>
        <v xml:space="preserve">$4,600,000 USD (with $3,600,000 from Chongqing Water Turbine Works Co.) </v>
      </c>
      <c r="K158" s="6" t="str">
        <f ca="1">IFERROR(__xludf.DUMMYFUNCTION("""COMPUTED_VALUE"""),"GUY")</f>
        <v>GUY</v>
      </c>
      <c r="L158" s="6" t="str">
        <f ca="1">IFERROR(__xludf.DUMMYFUNCTION("""COMPUTED_VALUE"""),"Guyana")</f>
        <v>Guyana</v>
      </c>
      <c r="M158" s="6" t="str">
        <f ca="1">IFERROR(__xludf.DUMMYFUNCTION("""COMPUTED_VALUE"""),"11km upstream of the Potaro River in the Potaro-Siparuni region, about 70-80km from Amalia Falls towards Linden")</f>
        <v>11km upstream of the Potaro River in the Potaro-Siparuni region, about 70-80km from Amalia Falls towards Linden</v>
      </c>
      <c r="N158" s="6" t="str">
        <f ca="1">IFERROR(__xludf.DUMMYFUNCTION("""COMPUTED_VALUE"""),"The Chongqing Water Turbine Works (CWTW - a Chinese company that specializes in manufacturing hydropower equipment) provided Tumatumari Hydro Inc. (a private sector company established in 2010) a credit of $3.6M USD (which will cover the engineering, proc"&amp;"urement, and construction for the new equipment), but the project is expected to cost $4.6M USD. Financing is broken up into equity capital and debt capital. The project was a ""full rehabiliation of the existing plant"" with a new capacity of 2 x 1.1 meg"&amp;"awatts. It was first constructed in 1957 by the British Goldfields Limited. Rehabilitating the hydroelectric plant would cut the resident's cost of power in half. In 2013, Tumatumari Hydropower Incorporated obtained a 50 years land lease agreement for the"&amp;" lands of the hydropower plant. Plans to rehabilitate the plant were announced in August 2015. In September 2016, Sven Homscheid Hydropower  + RE Consulting completed their consultation of the project and concluded it to be succesful, allowing the develpo"&amp;"per to continue. The contract for the station between Tumaturmari Hydro Inc. and Chongqing Water Turbine Works Co. was signed on May 26th, 2018. A lack of recent information about the project's status suggests that construction is ongoing.")</f>
        <v>The Chongqing Water Turbine Works (CWTW - a Chinese company that specializes in manufacturing hydropower equipment) provided Tumatumari Hydro Inc. (a private sector company established in 2010) a credit of $3.6M USD (which will cover the engineering, procurement, and construction for the new equipment), but the project is expected to cost $4.6M USD. Financing is broken up into equity capital and debt capital. The project was a "full rehabiliation of the existing plant" with a new capacity of 2 x 1.1 megawatts. It was first constructed in 1957 by the British Goldfields Limited. Rehabilitating the hydroelectric plant would cut the resident's cost of power in half. In 2013, Tumatumari Hydropower Incorporated obtained a 50 years land lease agreement for the lands of the hydropower plant. Plans to rehabilitate the plant were announced in August 2015. In September 2016, Sven Homscheid Hydropower  + RE Consulting completed their consultation of the project and concluded it to be succesful, allowing the develpoper to continue. The contract for the station between Tumaturmari Hydro Inc. and Chongqing Water Turbine Works Co. was signed on May 26th, 2018. A lack of recent information about the project's status suggests that construction is ongoing.</v>
      </c>
      <c r="O158" s="6" t="str">
        <f ca="1">IFERROR(__xludf.DUMMYFUNCTION("""COMPUTED_VALUE"""),"00/00/2013")</f>
        <v>00/00/2013</v>
      </c>
      <c r="P158" s="6" t="str">
        <f ca="1">IFERROR(__xludf.DUMMYFUNCTION("""COMPUTED_VALUE"""),"N/A")</f>
        <v>N/A</v>
      </c>
      <c r="Q158" s="6" t="str">
        <f ca="1">IFERROR(__xludf.DUMMYFUNCTION("""COMPUTED_VALUE"""),"Under construction - unknown")</f>
        <v>Under construction - unknown</v>
      </c>
      <c r="R158" s="6" t="str">
        <f ca="1">IFERROR(__xludf.DUMMYFUNCTION("""COMPUTED_VALUE"""),"DAM")</f>
        <v>DAM</v>
      </c>
      <c r="S158" s="6" t="str">
        <f ca="1">IFERROR(__xludf.DUMMYFUNCTION("""COMPUTED_VALUE"""),"GUY-ADM1-3_0_0-B6")</f>
        <v>GUY-ADM1-3_0_0-B6</v>
      </c>
      <c r="T158" s="6" t="str">
        <f ca="1">IFERROR(__xludf.DUMMYFUNCTION("""COMPUTED_VALUE"""),"ADM1")</f>
        <v>ADM1</v>
      </c>
      <c r="U158" s="6" t="str">
        <f ca="1">IFERROR(__xludf.DUMMYFUNCTION("""COMPUTED_VALUE"""),"Tumatumari is a town in the Potaro-Siparuni province. The Potaro river in this province is within a few kilometers of Tumatumari and a town called Potaro Landing. The nearest actual city is Mahdia")</f>
        <v>Tumatumari is a town in the Potaro-Siparuni province. The Potaro river in this province is within a few kilometers of Tumatumari and a town called Potaro Landing. The nearest actual city is Mahdia</v>
      </c>
      <c r="V158" s="6"/>
      <c r="W158" s="6" t="str">
        <f ca="1">IFERROR(__xludf.DUMMYFUNCTION("""COMPUTED_VALUE"""),"Potaro-Siparuni")</f>
        <v>Potaro-Siparuni</v>
      </c>
      <c r="X158" s="6"/>
      <c r="Y158" s="6"/>
      <c r="Z158" s="6"/>
      <c r="AA158" s="6"/>
      <c r="AB158" s="6"/>
      <c r="AC158" s="6"/>
      <c r="AD158" s="6"/>
      <c r="AE158" s="6"/>
      <c r="AF158" s="6"/>
      <c r="AG158" s="6"/>
    </row>
    <row r="159" spans="1:33" ht="237.6" x14ac:dyDescent="0.25">
      <c r="A159" s="6">
        <f ca="1">IFERROR(__xludf.DUMMYFUNCTION("""COMPUTED_VALUE"""),195)</f>
        <v>195</v>
      </c>
      <c r="B159" s="6">
        <f ca="1">IFERROR(__xludf.DUMMYFUNCTION("""COMPUTED_VALUE"""),6)</f>
        <v>6</v>
      </c>
      <c r="C159" s="6" t="str">
        <f ca="1">IFERROR(__xludf.DUMMYFUNCTION("""COMPUTED_VALUE"""),"Mirador Mining Project")</f>
        <v>Mirador Mining Project</v>
      </c>
      <c r="D159" s="6" t="str">
        <f ca="1">IFERROR(__xludf.DUMMYFUNCTION("""COMPUTED_VALUE"""),"Other Chinese Institution")</f>
        <v>Other Chinese Institution</v>
      </c>
      <c r="E159" s="6" t="str">
        <f ca="1">IFERROR(__xludf.DUMMYFUNCTION("""COMPUTED_VALUE"""),"A joint venture CRCC-Tongling between Tongling Nonferrous Metals Group and the China Railway Construction Company")</f>
        <v>A joint venture CRCC-Tongling between Tongling Nonferrous Metals Group and the China Railway Construction Company</v>
      </c>
      <c r="F159" s="6" t="str">
        <f ca="1">IFERROR(__xludf.DUMMYFUNCTION("""COMPUTED_VALUE"""),"Originally Corriente Resources, then taken over by Ecuacorriente, a subsidiary of state-owned Chinese consortium CRCC-Tongguan (consists of the Tongling Nonferrour Metals Group and the Chinese Railway Construction Corporation)")</f>
        <v>Originally Corriente Resources, then taken over by Ecuacorriente, a subsidiary of state-owned Chinese consortium CRCC-Tongguan (consists of the Tongling Nonferrour Metals Group and the Chinese Railway Construction Corporation)</v>
      </c>
      <c r="G159" s="6">
        <f ca="1">IFERROR(__xludf.DUMMYFUNCTION("""COMPUTED_VALUE"""),1.4)</f>
        <v>1.4</v>
      </c>
      <c r="H159" s="6" t="str">
        <f ca="1">IFERROR(__xludf.DUMMYFUNCTION("""COMPUTED_VALUE"""),"Natural Resources")</f>
        <v>Natural Resources</v>
      </c>
      <c r="I159" s="6" t="str">
        <f ca="1">IFERROR(__xludf.DUMMYFUNCTION("""COMPUTED_VALUE"""),"Vague")</f>
        <v>Vague</v>
      </c>
      <c r="J159" s="7" t="str">
        <f ca="1">IFERROR(__xludf.DUMMYFUNCTION("""COMPUTED_VALUE"""),"$1,400,000,000 USD")</f>
        <v>$1,400,000,000 USD</v>
      </c>
      <c r="K159" s="6" t="str">
        <f ca="1">IFERROR(__xludf.DUMMYFUNCTION("""COMPUTED_VALUE"""),"ECU")</f>
        <v>ECU</v>
      </c>
      <c r="L159" s="6" t="str">
        <f ca="1">IFERROR(__xludf.DUMMYFUNCTION("""COMPUTED_VALUE"""),"Ecuador")</f>
        <v>Ecuador</v>
      </c>
      <c r="M159" s="6" t="str">
        <f ca="1">IFERROR(__xludf.DUMMYFUNCTION("""COMPUTED_VALUE"""),"In the El Pangui Canton, in the Zamora-Chichipe Province of Ecuador, near the Peruvian border and approximately 340km to the south of Quito and approx 70km to the east-southeast of the city of Cuenca. In the Cordilla del Condor mountain range")</f>
        <v>In the El Pangui Canton, in the Zamora-Chichipe Province of Ecuador, near the Peruvian border and approximately 340km to the south of Quito and approx 70km to the east-southeast of the city of Cuenca. In the Cordilla del Condor mountain range</v>
      </c>
      <c r="N159" s="6" t="str">
        <f ca="1">IFERROR(__xludf.DUMMYFUNCTION("""COMPUTED_VALUE"""),"The Mirador Mine is an open-pit copper mine in the Cordilla del Condor mountain range in Southern Ecuador. Mirador has run into a lot of controversy, due to its location in a fragile and greatly diverse ecosystem and the disruption to local communities ca"&amp;"used by the construction. Between 2014 and 2016, prior to the start of construction, over 100 households were forcibly evicted by the Ecuadorian government from the Tundayme and San Marcos areas. However, feasibility studies and environmental impact asses"&amp;"sments were completed in 2005, 2006, and 2008. Since the completion of these studies, the funding and implementing actors for the project changed. It is unclear whether these assesments were taken into consideration by CRCC-Tongling. Environmental advocac"&amp;"y groups have consistently warned about the consequences of the mine and its tailings dams' eventual failure, including the complete annihilation of the Quimi, Tundayme, Zamora, and Santiago rivers, which are tributaries of the Amazon. In March 2019, two "&amp;"UN Rights of Nature experts presented a request to the Ecuadorian court to suspend the construction of the tailings dams of Mirador. They claimed that the current design of the tailings dams, which are the only barrier protecting the surrounding area from"&amp;" the toxic waste generated by Mirador's mining process, is not appropriate for the natural conditions of the area and the probability of failure is extremely high. If the tailings dams fail, around 100 million tons of highly toxic waste would be discharge"&amp;"d directly into the surrounding areas and rivers. This activism has been complemented by grassroots mobilization, most notably in the 11 day march from Tundayme to Quito in August 2015 to protest the consequences of the project's constructions on the envi"&amp;"ronment and local communities. A similar protest, led by indigenous groups, occurred in March 2012 in Quito against the copper mine. The project is reported to have generated over 2,400 jobs, but locals complain that most of these jobs were awarded to Chi"&amp;"nese laborers. In 2019, inspired by the Chinese financed Rio Blancos gold mine, a lawsuit against the coppper mine was filed, results of the lawsuit are unclear. Copper output began in July 2019.")</f>
        <v>The Mirador Mine is an open-pit copper mine in the Cordilla del Condor mountain range in Southern Ecuador. Mirador has run into a lot of controversy, due to its location in a fragile and greatly diverse ecosystem and the disruption to local communities caused by the construction. Between 2014 and 2016, prior to the start of construction, over 100 households were forcibly evicted by the Ecuadorian government from the Tundayme and San Marcos areas. However, feasibility studies and environmental impact assessments were completed in 2005, 2006, and 2008. Since the completion of these studies, the funding and implementing actors for the project changed. It is unclear whether these assesments were taken into consideration by CRCC-Tongling. Environmental advocacy groups have consistently warned about the consequences of the mine and its tailings dams' eventual failure, including the complete annihilation of the Quimi, Tundayme, Zamora, and Santiago rivers, which are tributaries of the Amazon. In March 2019, two UN Rights of Nature experts presented a request to the Ecuadorian court to suspend the construction of the tailings dams of Mirador. They claimed that the current design of the tailings dams, which are the only barrier protecting the surrounding area from the toxic waste generated by Mirador's mining process, is not appropriate for the natural conditions of the area and the probability of failure is extremely high. If the tailings dams fail, around 100 million tons of highly toxic waste would be discharged directly into the surrounding areas and rivers. This activism has been complemented by grassroots mobilization, most notably in the 11 day march from Tundayme to Quito in August 2015 to protest the consequences of the project's constructions on the environment and local communities. A similar protest, led by indigenous groups, occurred in March 2012 in Quito against the copper mine. The project is reported to have generated over 2,400 jobs, but locals complain that most of these jobs were awarded to Chinese laborers. In 2019, inspired by the Chinese financed Rio Blancos gold mine, a lawsuit against the coppper mine was filed, results of the lawsuit are unclear. Copper output began in July 2019.</v>
      </c>
      <c r="O159" s="8">
        <f ca="1">IFERROR(__xludf.DUMMYFUNCTION("""COMPUTED_VALUE"""),42359)</f>
        <v>42359</v>
      </c>
      <c r="P159" s="12">
        <f ca="1">IFERROR(__xludf.DUMMYFUNCTION("""COMPUTED_VALUE"""),43664)</f>
        <v>43664</v>
      </c>
      <c r="Q159" s="6" t="str">
        <f ca="1">IFERROR(__xludf.DUMMYFUNCTION("""COMPUTED_VALUE"""),"Completed")</f>
        <v>Completed</v>
      </c>
      <c r="R159" s="6" t="str">
        <f ca="1">IFERROR(__xludf.DUMMYFUNCTION("""COMPUTED_VALUE"""),"MN")</f>
        <v>MN</v>
      </c>
      <c r="S159" s="9" t="str">
        <f ca="1">IFERROR(__xludf.DUMMYFUNCTION("""COMPUTED_VALUE"""),"https://gist.github.com/Remy2020/ece6677d1bdc7787a73f74fd3ba3a660")</f>
        <v>https://gist.github.com/Remy2020/ece6677d1bdc7787a73f74fd3ba3a660</v>
      </c>
      <c r="T159" s="6" t="str">
        <f ca="1">IFERROR(__xludf.DUMMYFUNCTION("""COMPUTED_VALUE"""),"BLOB")</f>
        <v>BLOB</v>
      </c>
      <c r="U159" s="6" t="str">
        <f ca="1">IFERROR(__xludf.DUMMYFUNCTION("""COMPUTED_VALUE"""),"Followed google maps and digital globe imagery")</f>
        <v>Followed google maps and digital globe imagery</v>
      </c>
      <c r="V159" s="6" t="str">
        <f ca="1">IFERROR(__xludf.DUMMYFUNCTION("""COMPUTED_VALUE"""),"Yes (Both)")</f>
        <v>Yes (Both)</v>
      </c>
      <c r="W159" s="6" t="str">
        <f ca="1">IFERROR(__xludf.DUMMYFUNCTION("""COMPUTED_VALUE"""),"Zamora Chinchipe")</f>
        <v>Zamora Chinchipe</v>
      </c>
      <c r="X159" s="6"/>
      <c r="Y159" s="6"/>
      <c r="Z159" s="6"/>
      <c r="AA159" s="6"/>
      <c r="AB159" s="6"/>
      <c r="AC159" s="6"/>
      <c r="AD159" s="6"/>
      <c r="AE159" s="6"/>
      <c r="AF159" s="6"/>
      <c r="AG159" s="6"/>
    </row>
    <row r="160" spans="1:33" ht="118.8" x14ac:dyDescent="0.25">
      <c r="A160" s="6">
        <f ca="1">IFERROR(__xludf.DUMMYFUNCTION("""COMPUTED_VALUE"""),196)</f>
        <v>196</v>
      </c>
      <c r="B160" s="6">
        <f ca="1">IFERROR(__xludf.DUMMYFUNCTION("""COMPUTED_VALUE"""),3)</f>
        <v>3</v>
      </c>
      <c r="C160" s="6" t="str">
        <f ca="1">IFERROR(__xludf.DUMMYFUNCTION("""COMPUTED_VALUE"""),"San Carlos Pantantza Copper Mine")</f>
        <v>San Carlos Pantantza Copper Mine</v>
      </c>
      <c r="D160" s="6" t="str">
        <f ca="1">IFERROR(__xludf.DUMMYFUNCTION("""COMPUTED_VALUE"""),"Other Chinese Institution")</f>
        <v>Other Chinese Institution</v>
      </c>
      <c r="E160" s="6" t="str">
        <f ca="1">IFERROR(__xludf.DUMMYFUNCTION("""COMPUTED_VALUE"""),"A joint venture CRCC-Tongling between Tongling Nonferrous Metals Group and the China Railway Construction Company / China's Explorcobres S.A")</f>
        <v>A joint venture CRCC-Tongling between Tongling Nonferrous Metals Group and the China Railway Construction Company / China's Explorcobres S.A</v>
      </c>
      <c r="F160" s="6" t="str">
        <f ca="1">IFERROR(__xludf.DUMMYFUNCTION("""COMPUTED_VALUE"""),"Explorcobres S.A., a subsidiary of Corriente Resources")</f>
        <v>Explorcobres S.A., a subsidiary of Corriente Resources</v>
      </c>
      <c r="G160" s="6">
        <f ca="1">IFERROR(__xludf.DUMMYFUNCTION("""COMPUTED_VALUE"""),1.2)</f>
        <v>1.2</v>
      </c>
      <c r="H160" s="6" t="str">
        <f ca="1">IFERROR(__xludf.DUMMYFUNCTION("""COMPUTED_VALUE"""),"Natural Resources")</f>
        <v>Natural Resources</v>
      </c>
      <c r="I160" s="6" t="str">
        <f ca="1">IFERROR(__xludf.DUMMYFUNCTION("""COMPUTED_VALUE"""),"Vague")</f>
        <v>Vague</v>
      </c>
      <c r="J160" s="7" t="str">
        <f ca="1">IFERROR(__xludf.DUMMYFUNCTION("""COMPUTED_VALUE"""),"$3,000,000,000 USD")</f>
        <v>$3,000,000,000 USD</v>
      </c>
      <c r="K160" s="6" t="str">
        <f ca="1">IFERROR(__xludf.DUMMYFUNCTION("""COMPUTED_VALUE"""),"ECU")</f>
        <v>ECU</v>
      </c>
      <c r="L160" s="6" t="str">
        <f ca="1">IFERROR(__xludf.DUMMYFUNCTION("""COMPUTED_VALUE"""),"Ecuador")</f>
        <v>Ecuador</v>
      </c>
      <c r="M160" s="6" t="str">
        <f ca="1">IFERROR(__xludf.DUMMYFUNCTION("""COMPUTED_VALUE"""),"Morona Santiago province ")</f>
        <v xml:space="preserve">Morona Santiago province </v>
      </c>
      <c r="N160" s="6" t="str">
        <f ca="1">IFERROR(__xludf.DUMMYFUNCTION("""COMPUTED_VALUE"""),"Part of the joint venture between Tongling Nonferrous Metals and the China Railway Construction Company, the San Carlos Pantaza project is a planned copper mine in Ecuador that, like its counterpart mines in the nation, has run into issues during its cons"&amp;"truction. It is comprised of two large mining concessions, Panatza and San Carlos, which together will cover 3,200 hectares. Work has been paralyzed since 2006 due to opposition to its development from the Shaur- Achuar Nankints indigenous community. In 2"&amp;"019, the community filed a protective action against the project seeking the cancellation of its license and compensation for the communities affected on the grounds that Ecuacorriente violated their human rights. In March 2020, the Esperanza camp, which "&amp;"is part of the San Carlos Panantza mining complex, was intentionally set on fire and destroyed. In December 2020, the Ecuadorian court approved a referendum to be held in 2021 that would outlaw mining near Cuenca, the referendum would be binding but not r"&amp;"etroactive, thus would not impact San Carlos. It is unclear when, or if, construction will begin for the San Carlos Pantaza project. ")</f>
        <v xml:space="preserve">Part of the joint venture between Tongling Nonferrous Metals and the China Railway Construction Company, the San Carlos Pantaza project is a planned copper mine in Ecuador that, like its counterpart mines in the nation, has run into issues during its construction. It is comprised of two large mining concessions, Panatza and San Carlos, which together will cover 3,200 hectares. Work has been paralyzed since 2006 due to opposition to its development from the Shaur- Achuar Nankints indigenous community. In 2019, the community filed a protective action against the project seeking the cancellation of its license and compensation for the communities affected on the grounds that Ecuacorriente violated their human rights. In March 2020, the Esperanza camp, which is part of the San Carlos Panantza mining complex, was intentionally set on fire and destroyed. In December 2020, the Ecuadorian court approved a referendum to be held in 2021 that would outlaw mining near Cuenca, the referendum would be binding but not retroactive, thus would not impact San Carlos. It is unclear when, or if, construction will begin for the San Carlos Pantaza project. </v>
      </c>
      <c r="O160" s="6" t="str">
        <f ca="1">IFERROR(__xludf.DUMMYFUNCTION("""COMPUTED_VALUE"""),"Vague")</f>
        <v>Vague</v>
      </c>
      <c r="P160" s="6" t="str">
        <f ca="1">IFERROR(__xludf.DUMMYFUNCTION("""COMPUTED_VALUE"""),"N/A")</f>
        <v>N/A</v>
      </c>
      <c r="Q160" s="6" t="str">
        <f ca="1">IFERROR(__xludf.DUMMYFUNCTION("""COMPUTED_VALUE"""),"Delayed")</f>
        <v>Delayed</v>
      </c>
      <c r="R160" s="6" t="str">
        <f ca="1">IFERROR(__xludf.DUMMYFUNCTION("""COMPUTED_VALUE"""),"MN")</f>
        <v>MN</v>
      </c>
      <c r="S160" s="9" t="str">
        <f ca="1">IFERROR(__xludf.DUMMYFUNCTION("""COMPUTED_VALUE"""),"https://gist.github.com/Remy2020/8dc783359266f3d3f0f29cd137bb6ace")</f>
        <v>https://gist.github.com/Remy2020/8dc783359266f3d3f0f29cd137bb6ace</v>
      </c>
      <c r="T160" s="6" t="str">
        <f ca="1">IFERROR(__xludf.DUMMYFUNCTION("""COMPUTED_VALUE"""),"BLOB")</f>
        <v>BLOB</v>
      </c>
      <c r="U160" s="6" t="str">
        <f ca="1">IFERROR(__xludf.DUMMYFUNCTION("""COMPUTED_VALUE"""),"https://www.researchgate.net/figure/Concession-Map_fig1_228906469 | and then followed google maps and DG imagery")</f>
        <v>https://www.researchgate.net/figure/Concession-Map_fig1_228906469 | and then followed google maps and DG imagery</v>
      </c>
      <c r="V160" s="6" t="str">
        <f ca="1">IFERROR(__xludf.DUMMYFUNCTION("""COMPUTED_VALUE"""),"Yes (Both)")</f>
        <v>Yes (Both)</v>
      </c>
      <c r="W160" s="6" t="str">
        <f ca="1">IFERROR(__xludf.DUMMYFUNCTION("""COMPUTED_VALUE"""),"Morona Santiago")</f>
        <v>Morona Santiago</v>
      </c>
      <c r="X160" s="6"/>
      <c r="Y160" s="6"/>
      <c r="Z160" s="6"/>
      <c r="AA160" s="6"/>
      <c r="AB160" s="6"/>
      <c r="AC160" s="6"/>
      <c r="AD160" s="6"/>
      <c r="AE160" s="6"/>
      <c r="AF160" s="6"/>
      <c r="AG160" s="6"/>
    </row>
    <row r="161" spans="1:33" ht="184.8" x14ac:dyDescent="0.25">
      <c r="A161" s="6">
        <f ca="1">IFERROR(__xludf.DUMMYFUNCTION("""COMPUTED_VALUE"""),197)</f>
        <v>197</v>
      </c>
      <c r="B161" s="6">
        <f ca="1">IFERROR(__xludf.DUMMYFUNCTION("""COMPUTED_VALUE"""),4)</f>
        <v>4</v>
      </c>
      <c r="C161" s="6" t="str">
        <f ca="1">IFERROR(__xludf.DUMMYFUNCTION("""COMPUTED_VALUE"""),"Rio Blanco Mine")</f>
        <v>Rio Blanco Mine</v>
      </c>
      <c r="D161" s="6" t="str">
        <f ca="1">IFERROR(__xludf.DUMMYFUNCTION("""COMPUTED_VALUE"""),"Other Chinese Institution")</f>
        <v>Other Chinese Institution</v>
      </c>
      <c r="E161" s="6" t="str">
        <f ca="1">IFERROR(__xludf.DUMMYFUNCTION("""COMPUTED_VALUE"""),"Junefield Mineral Resources and the Hunan Gold Corporation")</f>
        <v>Junefield Mineral Resources and the Hunan Gold Corporation</v>
      </c>
      <c r="F161" s="6" t="str">
        <f ca="1">IFERROR(__xludf.DUMMYFUNCTION("""COMPUTED_VALUE"""),"Junefield Mineral Resources and the Hunan Gold Corporation")</f>
        <v>Junefield Mineral Resources and the Hunan Gold Corporation</v>
      </c>
      <c r="G161" s="6">
        <f ca="1">IFERROR(__xludf.DUMMYFUNCTION("""COMPUTED_VALUE"""),3)</f>
        <v>3</v>
      </c>
      <c r="H161" s="6" t="str">
        <f ca="1">IFERROR(__xludf.DUMMYFUNCTION("""COMPUTED_VALUE"""),"Natural Resources")</f>
        <v>Natural Resources</v>
      </c>
      <c r="I161" s="6" t="str">
        <f ca="1">IFERROR(__xludf.DUMMYFUNCTION("""COMPUTED_VALUE"""),"Investment")</f>
        <v>Investment</v>
      </c>
      <c r="J161" s="7" t="str">
        <f ca="1">IFERROR(__xludf.DUMMYFUNCTION("""COMPUTED_VALUE"""),"$20,000,000 USD")</f>
        <v>$20,000,000 USD</v>
      </c>
      <c r="K161" s="6" t="str">
        <f ca="1">IFERROR(__xludf.DUMMYFUNCTION("""COMPUTED_VALUE"""),"ECU")</f>
        <v>ECU</v>
      </c>
      <c r="L161" s="6" t="str">
        <f ca="1">IFERROR(__xludf.DUMMYFUNCTION("""COMPUTED_VALUE"""),"Ecuador")</f>
        <v>Ecuador</v>
      </c>
      <c r="M161" s="6" t="str">
        <f ca="1">IFERROR(__xludf.DUMMYFUNCTION("""COMPUTED_VALUE"""),"In the mountainous Piura region along the border of Northern Peru and Ecaudor")</f>
        <v>In the mountainous Piura region along the border of Northern Peru and Ecaudor</v>
      </c>
      <c r="N161" s="6" t="str">
        <f ca="1">IFERROR(__xludf.DUMMYFUNCTION("""COMPUTED_VALUE"""),"The Rio Blanco project includes four mining concessions covering 5,708 hectares located in the mountainous Piura region along the border of Northern Peru and Ecuador. It has an expected lifetime output of 15.7 tons of gold and 100 tons of silver. In April"&amp;" 2018, 25 years after locals had learned that the mountain they lived on contained gold, the Ecuadorian arm of Junefield Mineral Resources, a Chinese-owned mining company Junefield Ecuagoldmining S.A., officially started mining the metal. However, soon af"&amp;"ter construction of the mine began, mass protests started to threaten its construction. Protesters, including local farmers and indigenous communities, argued that they had not been consulted about the mine, which would have catastrophic environmental imp"&amp;"acts on their homeland and pollute their sources of water. Protests employed a variety of tactics, including blocking a road that leads out of the mine and destroying some of the mining equipment. Two 2018 major judicial rulings sided with the protesters;"&amp;" a local judge revoked Ecuagoldmining's mining license because the the people of Molleturo had not been properly alerted and consulted, a ruling which was ratified by a higher up court.  According to Ecuadorian media, mining at Rio Blanco has been paralyz"&amp;"ed since May 2018. In February 2020, Ecuagoldmining opened a dispute with Ecuador's government over the halted project. Ecuagoldmining has already invested around $20 million USD in the project and, if the case goes to arbitration, they will seek the full"&amp;" value of the gold Rio Blanco was expected to produce during the 11-year concession, which amounts to around $469 million USD, a substantial financial burden for the Ecuadorian government if it looses the lawsuit.")</f>
        <v>The Rio Blanco project includes four mining concessions covering 5,708 hectares located in the mountainous Piura region along the border of Northern Peru and Ecuador. It has an expected lifetime output of 15.7 tons of gold and 100 tons of silver. In April 2018, 25 years after locals had learned that the mountain they lived on contained gold, the Ecuadorian arm of Junefield Mineral Resources, a Chinese-owned mining company Junefield Ecuagoldmining S.A., officially started mining the metal. However, soon after construction of the mine began, mass protests started to threaten its construction. Protesters, including local farmers and indigenous communities, argued that they had not been consulted about the mine, which would have catastrophic environmental impacts on their homeland and pollute their sources of water. Protests employed a variety of tactics, including blocking a road that leads out of the mine and destroying some of the mining equipment. Two 2018 major judicial rulings sided with the protesters; a local judge revoked Ecuagoldmining's mining license because the the people of Molleturo had not been properly alerted and consulted, a ruling which was ratified by a higher up court.  According to Ecuadorian media, mining at Rio Blanco has been paralyzed since May 2018. In February 2020, Ecuagoldmining opened a dispute with Ecuador's government over the halted project. Ecuagoldmining has already invested around $20 million USD in the project and, if the case goes to arbitration, they will seek the full value of the gold Rio Blanco was expected to produce during the 11-year concession, which amounts to around $469 million USD, a substantial financial burden for the Ecuadorian government if it looses the lawsuit.</v>
      </c>
      <c r="O161" s="6" t="str">
        <f ca="1">IFERROR(__xludf.DUMMYFUNCTION("""COMPUTED_VALUE"""),"04/00/2018")</f>
        <v>04/00/2018</v>
      </c>
      <c r="P161" s="6" t="str">
        <f ca="1">IFERROR(__xludf.DUMMYFUNCTION("""COMPUTED_VALUE"""),"N/A")</f>
        <v>N/A</v>
      </c>
      <c r="Q161" s="6" t="str">
        <f ca="1">IFERROR(__xludf.DUMMYFUNCTION("""COMPUTED_VALUE"""),"Delayed")</f>
        <v>Delayed</v>
      </c>
      <c r="R161" s="6" t="str">
        <f ca="1">IFERROR(__xludf.DUMMYFUNCTION("""COMPUTED_VALUE"""),"MN")</f>
        <v>MN</v>
      </c>
      <c r="S161" s="9" t="str">
        <f ca="1">IFERROR(__xludf.DUMMYFUNCTION("""COMPUTED_VALUE"""),"https://gist.github.com/Remy2020/83488e67cf8a3b0bd9c795083d779ab0")</f>
        <v>https://gist.github.com/Remy2020/83488e67cf8a3b0bd9c795083d779ab0</v>
      </c>
      <c r="T161" s="6" t="str">
        <f ca="1">IFERROR(__xludf.DUMMYFUNCTION("""COMPUTED_VALUE"""),"BLOB")</f>
        <v>BLOB</v>
      </c>
      <c r="U161" s="6" t="str">
        <f ca="1">IFERROR(__xludf.DUMMYFUNCTION("""COMPUTED_VALUE"""),"Used graphics from  https://www.primicias.ec/noticias/economia/rio-blanco-minera-china-arbitraje-internacional-ecuador/ and https://chinadialogue.net/en/business/11358-how-locals-halted-a-chinese-owned-gold-mine-in-ecuador/ and then followed using google "&amp;"maps")</f>
        <v>Used graphics from  https://www.primicias.ec/noticias/economia/rio-blanco-minera-china-arbitraje-internacional-ecuador/ and https://chinadialogue.net/en/business/11358-how-locals-halted-a-chinese-owned-gold-mine-in-ecuador/ and then followed using google maps</v>
      </c>
      <c r="V161" s="6" t="str">
        <f ca="1">IFERROR(__xludf.DUMMYFUNCTION("""COMPUTED_VALUE"""),"Yes (Both)")</f>
        <v>Yes (Both)</v>
      </c>
      <c r="W161" s="6" t="str">
        <f ca="1">IFERROR(__xludf.DUMMYFUNCTION("""COMPUTED_VALUE"""),"Azuay")</f>
        <v>Azuay</v>
      </c>
      <c r="X161" s="6"/>
      <c r="Y161" s="6"/>
      <c r="Z161" s="6"/>
      <c r="AA161" s="6"/>
      <c r="AB161" s="6"/>
      <c r="AC161" s="6"/>
      <c r="AD161" s="6"/>
      <c r="AE161" s="6"/>
      <c r="AF161" s="6"/>
      <c r="AG161" s="6"/>
    </row>
    <row r="162" spans="1:33" ht="92.4" x14ac:dyDescent="0.25">
      <c r="A162" s="6">
        <f ca="1">IFERROR(__xludf.DUMMYFUNCTION("""COMPUTED_VALUE"""),198)</f>
        <v>198</v>
      </c>
      <c r="B162" s="6">
        <f ca="1">IFERROR(__xludf.DUMMYFUNCTION("""COMPUTED_VALUE"""),3)</f>
        <v>3</v>
      </c>
      <c r="C162" s="6" t="str">
        <f ca="1">IFERROR(__xludf.DUMMYFUNCTION("""COMPUTED_VALUE"""),"Manabí Hospital")</f>
        <v>Manabí Hospital</v>
      </c>
      <c r="D162" s="6" t="str">
        <f ca="1">IFERROR(__xludf.DUMMYFUNCTION("""COMPUTED_VALUE"""),"CDB")</f>
        <v>CDB</v>
      </c>
      <c r="E162" s="6" t="str">
        <f ca="1">IFERROR(__xludf.DUMMYFUNCTION("""COMPUTED_VALUE"""),"CDB")</f>
        <v>CDB</v>
      </c>
      <c r="F162" s="6" t="str">
        <f ca="1">IFERROR(__xludf.DUMMYFUNCTION("""COMPUTED_VALUE"""),"Ecuador's public works ministry (MTOP) awarded the contract to China CAMC Engineering")</f>
        <v>Ecuador's public works ministry (MTOP) awarded the contract to China CAMC Engineering</v>
      </c>
      <c r="G162" s="6">
        <f ca="1">IFERROR(__xludf.DUMMYFUNCTION("""COMPUTED_VALUE"""),1.1)</f>
        <v>1.1000000000000001</v>
      </c>
      <c r="H162" s="6" t="str">
        <f ca="1">IFERROR(__xludf.DUMMYFUNCTION("""COMPUTED_VALUE"""),"Medical")</f>
        <v>Medical</v>
      </c>
      <c r="I162" s="6" t="str">
        <f ca="1">IFERROR(__xludf.DUMMYFUNCTION("""COMPUTED_VALUE"""),"Loan")</f>
        <v>Loan</v>
      </c>
      <c r="J162" s="7" t="str">
        <f ca="1">IFERROR(__xludf.DUMMYFUNCTION("""COMPUTED_VALUE"""),"$800,000,000 USD")</f>
        <v>$800,000,000 USD</v>
      </c>
      <c r="K162" s="6" t="str">
        <f ca="1">IFERROR(__xludf.DUMMYFUNCTION("""COMPUTED_VALUE"""),"ECU")</f>
        <v>ECU</v>
      </c>
      <c r="L162" s="6" t="str">
        <f ca="1">IFERROR(__xludf.DUMMYFUNCTION("""COMPUTED_VALUE"""),"Ecuador")</f>
        <v>Ecuador</v>
      </c>
      <c r="M162" s="6" t="str">
        <f ca="1">IFERROR(__xludf.DUMMYFUNCTION("""COMPUTED_VALUE"""),"Chone city in Manabí province in Ecuador")</f>
        <v>Chone city in Manabí province in Ecuador</v>
      </c>
      <c r="N162" s="6" t="str">
        <f ca="1">IFERROR(__xludf.DUMMYFUNCTION("""COMPUTED_VALUE"""),"In November 2020, Ecuador's public works ministry (MTOP) awarded a contract to China CAMC Engineering to build a 5925 meters squared hospital in Manabí, Ecuador. It will be funded from a $800 million USD loan from the China Development Bank. The hospital "&amp;"is part of the government's reconstruction efforts after a devastating 7.8 magnitude April 2016 earthquake. However, the project is the subject of corruption investigations; members of the Pedernales-Manabí consortium are being charged with asset launderi"&amp;"ng of $16 million USD of the loan. In October 2020, a judge ruled that MTOP could not access the $5.8 million USD in frozen assets from the corruption probe. The contract was awarded to China CAMC Engineering because of the results of this probe. The Ecua"&amp;"dorian government expects the project to be completed by October 2021, three years after its original expected completion date of 2018.")</f>
        <v>In November 2020, Ecuador's public works ministry (MTOP) awarded a contract to China CAMC Engineering to build a 5925 meters squared hospital in Manabí, Ecuador. It will be funded from a $800 million USD loan from the China Development Bank. The hospital is part of the government's reconstruction efforts after a devastating 7.8 magnitude April 2016 earthquake. However, the project is the subject of corruption investigations; members of the Pedernales-Manabí consortium are being charged with asset laundering of $16 million USD of the loan. In October 2020, a judge ruled that MTOP could not access the $5.8 million USD in frozen assets from the corruption probe. The contract was awarded to China CAMC Engineering because of the results of this probe. The Ecuadorian government expects the project to be completed by October 2021, three years after its original expected completion date of 2018.</v>
      </c>
      <c r="O162" s="6" t="str">
        <f ca="1">IFERROR(__xludf.DUMMYFUNCTION("""COMPUTED_VALUE"""),"00/00/2016")</f>
        <v>00/00/2016</v>
      </c>
      <c r="P162" s="6" t="str">
        <f ca="1">IFERROR(__xludf.DUMMYFUNCTION("""COMPUTED_VALUE"""),"N/A")</f>
        <v>N/A</v>
      </c>
      <c r="Q162" s="6" t="str">
        <f ca="1">IFERROR(__xludf.DUMMYFUNCTION("""COMPUTED_VALUE"""),"Under construction - delayed")</f>
        <v>Under construction - delayed</v>
      </c>
      <c r="R162" s="6" t="str">
        <f ca="1">IFERROR(__xludf.DUMMYFUNCTION("""COMPUTED_VALUE"""),"HSP")</f>
        <v>HSP</v>
      </c>
      <c r="S162" s="9" t="str">
        <f ca="1">IFERROR(__xludf.DUMMYFUNCTION("""COMPUTED_VALUE"""),"https://gist.github.com/Remy2020/a5f2ebd32ef0c53fffc9e5f6b0e8c289")</f>
        <v>https://gist.github.com/Remy2020/a5f2ebd32ef0c53fffc9e5f6b0e8c289</v>
      </c>
      <c r="T162" s="6" t="str">
        <f ca="1">IFERROR(__xludf.DUMMYFUNCTION("""COMPUTED_VALUE"""),"BLOB")</f>
        <v>BLOB</v>
      </c>
      <c r="U162" s="6" t="str">
        <f ca="1">IFERROR(__xludf.DUMMYFUNCTION("""COMPUTED_VALUE"""),"https://www.eluniverso.com/noticias/2019/04/21/nota/7294946/norte-manabi-estan-espera-nuevos-hospitales/ and then followed google maps")</f>
        <v>https://www.eluniverso.com/noticias/2019/04/21/nota/7294946/norte-manabi-estan-espera-nuevos-hospitales/ and then followed google maps</v>
      </c>
      <c r="V162" s="6" t="str">
        <f ca="1">IFERROR(__xludf.DUMMYFUNCTION("""COMPUTED_VALUE"""),"Yes (Both)")</f>
        <v>Yes (Both)</v>
      </c>
      <c r="W162" s="6" t="str">
        <f ca="1">IFERROR(__xludf.DUMMYFUNCTION("""COMPUTED_VALUE"""),"Manabí")</f>
        <v>Manabí</v>
      </c>
      <c r="X162" s="6"/>
      <c r="Y162" s="6"/>
      <c r="Z162" s="6"/>
      <c r="AA162" s="6"/>
      <c r="AB162" s="6"/>
      <c r="AC162" s="6"/>
      <c r="AD162" s="6"/>
      <c r="AE162" s="6"/>
      <c r="AF162" s="6"/>
      <c r="AG162" s="6"/>
    </row>
    <row r="163" spans="1:33" ht="132" x14ac:dyDescent="0.25">
      <c r="A163" s="6">
        <f ca="1">IFERROR(__xludf.DUMMYFUNCTION("""COMPUTED_VALUE"""),199)</f>
        <v>199</v>
      </c>
      <c r="B163" s="6">
        <f ca="1">IFERROR(__xludf.DUMMYFUNCTION("""COMPUTED_VALUE"""),6)</f>
        <v>6</v>
      </c>
      <c r="C163" s="6" t="str">
        <f ca="1">IFERROR(__xludf.DUMMYFUNCTION("""COMPUTED_VALUE"""),"Eloy Alfaro International Airport Reconstruction")</f>
        <v>Eloy Alfaro International Airport Reconstruction</v>
      </c>
      <c r="D163" s="6" t="str">
        <f ca="1">IFERROR(__xludf.DUMMYFUNCTION("""COMPUTED_VALUE"""),"CHEXIM")</f>
        <v>CHEXIM</v>
      </c>
      <c r="E163" s="6" t="str">
        <f ca="1">IFERROR(__xludf.DUMMYFUNCTION("""COMPUTED_VALUE"""),"CHEXIM and the Ecuadorian government")</f>
        <v>CHEXIM and the Ecuadorian government</v>
      </c>
      <c r="F163" s="6" t="str">
        <f ca="1">IFERROR(__xludf.DUMMYFUNCTION("""COMPUTED_VALUE"""),"The consortium China Road and Bridge Corporation(CRBC)- China National Electronics Import &amp; Export (CEIEC)")</f>
        <v>The consortium China Road and Bridge Corporation(CRBC)- China National Electronics Import &amp; Export (CEIEC)</v>
      </c>
      <c r="G163" s="6">
        <f ca="1">IFERROR(__xludf.DUMMYFUNCTION("""COMPUTED_VALUE"""),1.3)</f>
        <v>1.3</v>
      </c>
      <c r="H163" s="6" t="str">
        <f ca="1">IFERROR(__xludf.DUMMYFUNCTION("""COMPUTED_VALUE"""),"Airport")</f>
        <v>Airport</v>
      </c>
      <c r="I163" s="6" t="str">
        <f ca="1">IFERROR(__xludf.DUMMYFUNCTION("""COMPUTED_VALUE"""),"Contract")</f>
        <v>Contract</v>
      </c>
      <c r="J163" s="7" t="str">
        <f ca="1">IFERROR(__xludf.DUMMYFUNCTION("""COMPUTED_VALUE"""),"$25,200,000 USD")</f>
        <v>$25,200,000 USD</v>
      </c>
      <c r="K163" s="6" t="str">
        <f ca="1">IFERROR(__xludf.DUMMYFUNCTION("""COMPUTED_VALUE"""),"ECU")</f>
        <v>ECU</v>
      </c>
      <c r="L163" s="6" t="str">
        <f ca="1">IFERROR(__xludf.DUMMYFUNCTION("""COMPUTED_VALUE"""),"Ecuador")</f>
        <v>Ecuador</v>
      </c>
      <c r="M163" s="6" t="str">
        <f ca="1">IFERROR(__xludf.DUMMYFUNCTION("""COMPUTED_VALUE"""),"Manta, Manabí, Ecuador")</f>
        <v>Manta, Manabí, Ecuador</v>
      </c>
      <c r="N163" s="6" t="str">
        <f ca="1">IFERROR(__xludf.DUMMYFUNCTION("""COMPUTED_VALUE"""),"This project will reconstruct the Eloy Alfaro International Airport in Manta, one of the most important cities for tourism and business on Ecuador's pacific coast. The April 2016 7.8 magnitude earthquake toppled the airport's control tower, leaving its te"&amp;"rminal and communication systems severely damaged. Since the quake, a provisional airport has been in its place, running 25 weekly flights with a 8-meter tall control tower and an obsolete communications system. The contract for the airport--which also in"&amp;"cluded the Pimpiguasí bridge, Quinidé- Las Golondrinas highway, and Canuto bridge--was signed between the MTOP and the consortium on November 30th, 2017. On November 23, 2018, construction on a new version of the airport began, with funding from a $20.7 m"&amp;"illion USD line of credit from CHEXIM and $4.5 million USD from Ecuador's government. Construction was expected to be completed by May 15th, 2020, with 4,927 square meters, a 36.6-meters-high control tower, and a capacity of 115,000 passengers per year. T"&amp;"he project has generated 800 jobs, including 300 direct jobs for the local labor force. The current construction status is unknown, with no clear articles about its completion.")</f>
        <v>This project will reconstruct the Eloy Alfaro International Airport in Manta, one of the most important cities for tourism and business on Ecuador's pacific coast. The April 2016 7.8 magnitude earthquake toppled the airport's control tower, leaving its terminal and communication systems severely damaged. Since the quake, a provisional airport has been in its place, running 25 weekly flights with a 8-meter tall control tower and an obsolete communications system. The contract for the airport--which also included the Pimpiguasí bridge, Quinidé- Las Golondrinas highway, and Canuto bridge--was signed between the MTOP and the consortium on November 30th, 2017. On November 23, 2018, construction on a new version of the airport began, with funding from a $20.7 million USD line of credit from CHEXIM and $4.5 million USD from Ecuador's government. Construction was expected to be completed by May 15th, 2020, with 4,927 square meters, a 36.6-meters-high control tower, and a capacity of 115,000 passengers per year. The project has generated 800 jobs, including 300 direct jobs for the local labor force. The current construction status is unknown, with no clear articles about its completion.</v>
      </c>
      <c r="O163" s="8">
        <f ca="1">IFERROR(__xludf.DUMMYFUNCTION("""COMPUTED_VALUE"""),43069)</f>
        <v>43069</v>
      </c>
      <c r="P163" s="6" t="str">
        <f ca="1">IFERROR(__xludf.DUMMYFUNCTION("""COMPUTED_VALUE"""),"N/A")</f>
        <v>N/A</v>
      </c>
      <c r="Q163" s="6" t="str">
        <f ca="1">IFERROR(__xludf.DUMMYFUNCTION("""COMPUTED_VALUE"""),"Under construction - unknown")</f>
        <v>Under construction - unknown</v>
      </c>
      <c r="R163" s="6" t="str">
        <f ca="1">IFERROR(__xludf.DUMMYFUNCTION("""COMPUTED_VALUE"""),"AIRP")</f>
        <v>AIRP</v>
      </c>
      <c r="S163" s="9" t="str">
        <f ca="1">IFERROR(__xludf.DUMMYFUNCTION("""COMPUTED_VALUE"""),"https://gist.github.com/Remy2020/5a947c5413d67812ec16ef6b547bd3ab")</f>
        <v>https://gist.github.com/Remy2020/5a947c5413d67812ec16ef6b547bd3ab</v>
      </c>
      <c r="T163" s="6" t="str">
        <f ca="1">IFERROR(__xludf.DUMMYFUNCTION("""COMPUTED_VALUE"""),"BLOB")</f>
        <v>BLOB</v>
      </c>
      <c r="U163" s="6" t="str">
        <f ca="1">IFERROR(__xludf.DUMMYFUNCTION("""COMPUTED_VALUE"""),"Used google maps")</f>
        <v>Used google maps</v>
      </c>
      <c r="V163" s="6" t="str">
        <f ca="1">IFERROR(__xludf.DUMMYFUNCTION("""COMPUTED_VALUE"""),"Yes (Both)")</f>
        <v>Yes (Both)</v>
      </c>
      <c r="W163" s="6" t="str">
        <f ca="1">IFERROR(__xludf.DUMMYFUNCTION("""COMPUTED_VALUE"""),"Manabí")</f>
        <v>Manabí</v>
      </c>
      <c r="X163" s="6"/>
      <c r="Y163" s="6"/>
      <c r="Z163" s="6"/>
      <c r="AA163" s="6"/>
      <c r="AB163" s="6"/>
      <c r="AC163" s="6"/>
      <c r="AD163" s="6"/>
      <c r="AE163" s="6"/>
      <c r="AF163" s="6"/>
      <c r="AG163" s="6"/>
    </row>
    <row r="164" spans="1:33" ht="118.8" x14ac:dyDescent="0.25">
      <c r="A164" s="6">
        <f ca="1">IFERROR(__xludf.DUMMYFUNCTION("""COMPUTED_VALUE"""),200)</f>
        <v>200</v>
      </c>
      <c r="B164" s="6">
        <f ca="1">IFERROR(__xludf.DUMMYFUNCTION("""COMPUTED_VALUE"""),5)</f>
        <v>5</v>
      </c>
      <c r="C164" s="6" t="str">
        <f ca="1">IFERROR(__xludf.DUMMYFUNCTION("""COMPUTED_VALUE"""),"Canuto Bridge")</f>
        <v>Canuto Bridge</v>
      </c>
      <c r="D164" s="6" t="str">
        <f ca="1">IFERROR(__xludf.DUMMYFUNCTION("""COMPUTED_VALUE"""),"CHEXIM")</f>
        <v>CHEXIM</v>
      </c>
      <c r="E164" s="6" t="str">
        <f ca="1">IFERROR(__xludf.DUMMYFUNCTION("""COMPUTED_VALUE"""),"CHEXIM loan to Ecuador National Government (through the Ministry of Reconstruction)")</f>
        <v>CHEXIM loan to Ecuador National Government (through the Ministry of Reconstruction)</v>
      </c>
      <c r="F164" s="6" t="str">
        <f ca="1">IFERROR(__xludf.DUMMYFUNCTION("""COMPUTED_VALUE"""),"The consortium China Road and Bridge Corporation(CRBC)- China National Electronics Import &amp; Export (CEIEC); Ecuadorian Ministry of Transportation and Public Work")</f>
        <v>The consortium China Road and Bridge Corporation(CRBC)- China National Electronics Import &amp; Export (CEIEC); Ecuadorian Ministry of Transportation and Public Work</v>
      </c>
      <c r="G164" s="6">
        <f ca="1">IFERROR(__xludf.DUMMYFUNCTION("""COMPUTED_VALUE"""),1.3)</f>
        <v>1.3</v>
      </c>
      <c r="H164" s="6" t="str">
        <f ca="1">IFERROR(__xludf.DUMMYFUNCTION("""COMPUTED_VALUE"""),"Bridge")</f>
        <v>Bridge</v>
      </c>
      <c r="I164" s="6" t="str">
        <f ca="1">IFERROR(__xludf.DUMMYFUNCTION("""COMPUTED_VALUE"""),"Vague")</f>
        <v>Vague</v>
      </c>
      <c r="J164" s="7" t="str">
        <f ca="1">IFERROR(__xludf.DUMMYFUNCTION("""COMPUTED_VALUE"""),"$5,000,000 USD")</f>
        <v>$5,000,000 USD</v>
      </c>
      <c r="K164" s="6" t="str">
        <f ca="1">IFERROR(__xludf.DUMMYFUNCTION("""COMPUTED_VALUE"""),"ECU")</f>
        <v>ECU</v>
      </c>
      <c r="L164" s="6" t="str">
        <f ca="1">IFERROR(__xludf.DUMMYFUNCTION("""COMPUTED_VALUE"""),"Ecuador")</f>
        <v>Ecuador</v>
      </c>
      <c r="M164" s="6" t="str">
        <f ca="1">IFERROR(__xludf.DUMMYFUNCTION("""COMPUTED_VALUE"""),"On the Rio Grande river in the Canuto parish of Chone, Ecuador")</f>
        <v>On the Rio Grande river in the Canuto parish of Chone, Ecuador</v>
      </c>
      <c r="N164" s="6" t="str">
        <f ca="1">IFERROR(__xludf.DUMMYFUNCTION("""COMPUTED_VALUE"""),"Part of the E-384 State Road Network and the group of Chinese projects attempting to reconstruct after the 7.8 magnitude April 2016 earthquake, the Canuto bridge is planned to be 40-meters long and in the Canuto parish of Chone, Ecuador. It was funded thr"&amp;"ough a loan of $5 million USD from CHEXIM to Ecuador's Ministry of Reconstruction. Construction will be completed by the consortium China Road and Bridge Corporation (CRBC), which is composed of the China National Electronics Import &amp; Export (CEIEC) and t"&amp;"he Ecuadorian Ministry of Transportation and Public Works. The contract for the bridge--which also included the Pimpiguasí bridge, Quinidé-Las Golondrinas highway, and Eloy Alfaro de Manta airport--was signed between the MTOP and the consortium on Novembe"&amp;"r 30th, 2017. Current construction status is unknown.")</f>
        <v>Part of the E-384 State Road Network and the group of Chinese projects attempting to reconstruct after the 7.8 magnitude April 2016 earthquake, the Canuto bridge is planned to be 40-meters long and in the Canuto parish of Chone, Ecuador. It was funded through a loan of $5 million USD from CHEXIM to Ecuador's Ministry of Reconstruction. Construction will be completed by the consortium China Road and Bridge Corporation (CRBC), which is composed of the China National Electronics Import &amp; Export (CEIEC) and the Ecuadorian Ministry of Transportation and Public Works. The contract for the bridge--which also included the Pimpiguasí bridge, Quinidé-Las Golondrinas highway, and Eloy Alfaro de Manta airport--was signed between the MTOP and the consortium on November 30th, 2017. Current construction status is unknown.</v>
      </c>
      <c r="O164" s="12">
        <f ca="1">IFERROR(__xludf.DUMMYFUNCTION("""COMPUTED_VALUE"""),43069)</f>
        <v>43069</v>
      </c>
      <c r="P164" s="6" t="str">
        <f ca="1">IFERROR(__xludf.DUMMYFUNCTION("""COMPUTED_VALUE"""),"N/A")</f>
        <v>N/A</v>
      </c>
      <c r="Q164" s="6" t="str">
        <f ca="1">IFERROR(__xludf.DUMMYFUNCTION("""COMPUTED_VALUE"""),"Under construction - unknown")</f>
        <v>Under construction - unknown</v>
      </c>
      <c r="R164" s="6" t="str">
        <f ca="1">IFERROR(__xludf.DUMMYFUNCTION("""COMPUTED_VALUE"""),"DAM")</f>
        <v>DAM</v>
      </c>
      <c r="S164" s="6" t="str">
        <f ca="1">IFERROR(__xludf.DUMMYFUNCTION("""COMPUTED_VALUE"""),"ECU-ADM1-3_0_0-B13")</f>
        <v>ECU-ADM1-3_0_0-B13</v>
      </c>
      <c r="T164" s="6" t="str">
        <f ca="1">IFERROR(__xludf.DUMMYFUNCTION("""COMPUTED_VALUE"""),"ADM1")</f>
        <v>ADM1</v>
      </c>
      <c r="U164" s="6" t="str">
        <f ca="1">IFERROR(__xludf.DUMMYFUNCTION("""COMPUTED_VALUE"""),"Manabi province")</f>
        <v>Manabi province</v>
      </c>
      <c r="V164" s="6" t="str">
        <f ca="1">IFERROR(__xludf.DUMMYFUNCTION("""COMPUTED_VALUE"""),"Yes (Both)")</f>
        <v>Yes (Both)</v>
      </c>
      <c r="W164" s="6" t="str">
        <f ca="1">IFERROR(__xludf.DUMMYFUNCTION("""COMPUTED_VALUE"""),"Manabí")</f>
        <v>Manabí</v>
      </c>
      <c r="X164" s="6"/>
      <c r="Y164" s="6"/>
      <c r="Z164" s="6"/>
      <c r="AA164" s="6"/>
      <c r="AB164" s="6"/>
      <c r="AC164" s="6"/>
      <c r="AD164" s="6"/>
      <c r="AE164" s="6"/>
      <c r="AF164" s="6"/>
      <c r="AG164" s="6"/>
    </row>
    <row r="165" spans="1:33" ht="92.4" x14ac:dyDescent="0.25">
      <c r="A165" s="6">
        <f ca="1">IFERROR(__xludf.DUMMYFUNCTION("""COMPUTED_VALUE"""),201)</f>
        <v>201</v>
      </c>
      <c r="B165" s="6">
        <f ca="1">IFERROR(__xludf.DUMMYFUNCTION("""COMPUTED_VALUE"""),4)</f>
        <v>4</v>
      </c>
      <c r="C165" s="6" t="str">
        <f ca="1">IFERROR(__xludf.DUMMYFUNCTION("""COMPUTED_VALUE"""),"Quinide-Las Golondrinas Highway")</f>
        <v>Quinide-Las Golondrinas Highway</v>
      </c>
      <c r="D165" s="6" t="str">
        <f ca="1">IFERROR(__xludf.DUMMYFUNCTION("""COMPUTED_VALUE"""),"CHEXIM")</f>
        <v>CHEXIM</v>
      </c>
      <c r="E165" s="6" t="str">
        <f ca="1">IFERROR(__xludf.DUMMYFUNCTION("""COMPUTED_VALUE"""),"CHEXIM loan to Ecuador National Government (through the Ministry of Reconstruction)")</f>
        <v>CHEXIM loan to Ecuador National Government (through the Ministry of Reconstruction)</v>
      </c>
      <c r="F165" s="6" t="str">
        <f ca="1">IFERROR(__xludf.DUMMYFUNCTION("""COMPUTED_VALUE"""),"The consortium China Road and Bridge Corporation(CRBC)- China National Electronics Import &amp; Export (CEIEC)")</f>
        <v>The consortium China Road and Bridge Corporation(CRBC)- China National Electronics Import &amp; Export (CEIEC)</v>
      </c>
      <c r="G165" s="6">
        <f ca="1">IFERROR(__xludf.DUMMYFUNCTION("""COMPUTED_VALUE"""),1.3)</f>
        <v>1.3</v>
      </c>
      <c r="H165" s="6" t="str">
        <f ca="1">IFERROR(__xludf.DUMMYFUNCTION("""COMPUTED_VALUE"""),"Road")</f>
        <v>Road</v>
      </c>
      <c r="I165" s="6" t="str">
        <f ca="1">IFERROR(__xludf.DUMMYFUNCTION("""COMPUTED_VALUE"""),"Vague")</f>
        <v>Vague</v>
      </c>
      <c r="J165" s="6" t="str">
        <f ca="1">IFERROR(__xludf.DUMMYFUNCTION("""COMPUTED_VALUE"""),"N/A")</f>
        <v>N/A</v>
      </c>
      <c r="K165" s="6" t="str">
        <f ca="1">IFERROR(__xludf.DUMMYFUNCTION("""COMPUTED_VALUE"""),"ECU")</f>
        <v>ECU</v>
      </c>
      <c r="L165" s="6" t="str">
        <f ca="1">IFERROR(__xludf.DUMMYFUNCTION("""COMPUTED_VALUE"""),"Ecuador")</f>
        <v>Ecuador</v>
      </c>
      <c r="M165" s="6" t="str">
        <f ca="1">IFERROR(__xludf.DUMMYFUNCTION("""COMPUTED_VALUE"""),"Connects Esmeraldas with the neighboring Imbabura province")</f>
        <v>Connects Esmeraldas with the neighboring Imbabura province</v>
      </c>
      <c r="N165" s="6" t="str">
        <f ca="1">IFERROR(__xludf.DUMMYFUNCTION("""COMPUTED_VALUE"""),"Part of China's reconstruction efforts after the 7.8 magnitude April 2016 earthquake in Ecuador, the Quinińdé-Las Golondrinas highway is to be located between the Esmeraldas and Imbabura provinces. It encompasses 36 km of road and will increase connectivi"&amp;"ty in Northern Ecuador. Construction will be completed by the consortium China Road and Bridge Corporation (CRBC), which is composed of the China National Electronics Import &amp; Export (CEIEC) and the Ecuadorian Ministry of Transportation and Public Works. "&amp;"The project is funded by the Chinese government through a CHEXIM loan. The contract for the highway--which also included the Pimpiguasí bridge, Canuto bridge, and Eloy Alfaro de Manta airport--was signed between the MTOP and the consortium on November 30t"&amp;"h, 2017. Current construction status is unknown.")</f>
        <v>Part of China's reconstruction efforts after the 7.8 magnitude April 2016 earthquake in Ecuador, the Quinińdé-Las Golondrinas highway is to be located between the Esmeraldas and Imbabura provinces. It encompasses 36 km of road and will increase connectivity in Northern Ecuador. Construction will be completed by the consortium China Road and Bridge Corporation (CRBC), which is composed of the China National Electronics Import &amp; Export (CEIEC) and the Ecuadorian Ministry of Transportation and Public Works. The project is funded by the Chinese government through a CHEXIM loan. The contract for the highway--which also included the Pimpiguasí bridge, Canuto bridge, and Eloy Alfaro de Manta airport--was signed between the MTOP and the consortium on November 30th, 2017. Current construction status is unknown.</v>
      </c>
      <c r="O165" s="8">
        <f ca="1">IFERROR(__xludf.DUMMYFUNCTION("""COMPUTED_VALUE"""),43069)</f>
        <v>43069</v>
      </c>
      <c r="P165" s="6" t="str">
        <f ca="1">IFERROR(__xludf.DUMMYFUNCTION("""COMPUTED_VALUE"""),"N/A")</f>
        <v>N/A</v>
      </c>
      <c r="Q165" s="6" t="str">
        <f ca="1">IFERROR(__xludf.DUMMYFUNCTION("""COMPUTED_VALUE"""),"Under construction - unknown")</f>
        <v>Under construction - unknown</v>
      </c>
      <c r="R165" s="6" t="str">
        <f ca="1">IFERROR(__xludf.DUMMYFUNCTION("""COMPUTED_VALUE"""),"DAM")</f>
        <v>DAM</v>
      </c>
      <c r="S165" s="6" t="str">
        <f ca="1">IFERROR(__xludf.DUMMYFUNCTION("""COMPUTED_VALUE"""),"Esmeraldas ECU-ADM1-3_0_0-B8 - Imbabura ECU-ADM1-3_0_0-B10")</f>
        <v>Esmeraldas ECU-ADM1-3_0_0-B8 - Imbabura ECU-ADM1-3_0_0-B10</v>
      </c>
      <c r="T165" s="6" t="str">
        <f ca="1">IFERROR(__xludf.DUMMYFUNCTION("""COMPUTED_VALUE"""),"ADM1")</f>
        <v>ADM1</v>
      </c>
      <c r="U165" s="6" t="str">
        <f ca="1">IFERROR(__xludf.DUMMYFUNCTION("""COMPUTED_VALUE"""),"Okay Quinide is a town in the Esmeraldas Province and Las Golondrinas is a town in the Imbabura province. These towns are located approximately 30 kilometers apart. So presumably this 36km road connects them. It's just a question of which road because I c"&amp;"an't tell...")</f>
        <v>Okay Quinide is a town in the Esmeraldas Province and Las Golondrinas is a town in the Imbabura province. These towns are located approximately 30 kilometers apart. So presumably this 36km road connects them. It's just a question of which road because I can't tell...</v>
      </c>
      <c r="V165" s="6"/>
      <c r="W165" s="6" t="str">
        <f ca="1">IFERROR(__xludf.DUMMYFUNCTION("""COMPUTED_VALUE"""),"Esmeraldas")</f>
        <v>Esmeraldas</v>
      </c>
      <c r="X165" s="6"/>
      <c r="Y165" s="6"/>
      <c r="Z165" s="6"/>
      <c r="AA165" s="6"/>
      <c r="AB165" s="6"/>
      <c r="AC165" s="6"/>
      <c r="AD165" s="6"/>
      <c r="AE165" s="6"/>
      <c r="AF165" s="6"/>
      <c r="AG165" s="6"/>
    </row>
    <row r="166" spans="1:33" ht="118.8" x14ac:dyDescent="0.25">
      <c r="A166" s="6">
        <f ca="1">IFERROR(__xludf.DUMMYFUNCTION("""COMPUTED_VALUE"""),202)</f>
        <v>202</v>
      </c>
      <c r="B166" s="6">
        <f ca="1">IFERROR(__xludf.DUMMYFUNCTION("""COMPUTED_VALUE"""),3)</f>
        <v>3</v>
      </c>
      <c r="C166" s="6" t="str">
        <f ca="1">IFERROR(__xludf.DUMMYFUNCTION("""COMPUTED_VALUE"""),"Pimpiguasi Bridge")</f>
        <v>Pimpiguasi Bridge</v>
      </c>
      <c r="D166" s="6" t="str">
        <f ca="1">IFERROR(__xludf.DUMMYFUNCTION("""COMPUTED_VALUE"""),"CHEXIM")</f>
        <v>CHEXIM</v>
      </c>
      <c r="E166" s="6" t="str">
        <f ca="1">IFERROR(__xludf.DUMMYFUNCTION("""COMPUTED_VALUE"""),"CHEXIM loan to Ecuador National Government (through the Ministry of Reconstruction)")</f>
        <v>CHEXIM loan to Ecuador National Government (through the Ministry of Reconstruction)</v>
      </c>
      <c r="F166" s="6" t="str">
        <f ca="1">IFERROR(__xludf.DUMMYFUNCTION("""COMPUTED_VALUE"""),"The consortium China Road and Bridge Corporation (CRBC)- China National Electronics Import &amp; Export (CEIEC); Ecuadorian Ministry of Transportation and Public Works")</f>
        <v>The consortium China Road and Bridge Corporation (CRBC)- China National Electronics Import &amp; Export (CEIEC); Ecuadorian Ministry of Transportation and Public Works</v>
      </c>
      <c r="G166" s="6">
        <f ca="1">IFERROR(__xludf.DUMMYFUNCTION("""COMPUTED_VALUE"""),1.3)</f>
        <v>1.3</v>
      </c>
      <c r="H166" s="6" t="str">
        <f ca="1">IFERROR(__xludf.DUMMYFUNCTION("""COMPUTED_VALUE"""),"Bridge")</f>
        <v>Bridge</v>
      </c>
      <c r="I166" s="6" t="str">
        <f ca="1">IFERROR(__xludf.DUMMYFUNCTION("""COMPUTED_VALUE"""),"Vague")</f>
        <v>Vague</v>
      </c>
      <c r="J166" s="6" t="str">
        <f ca="1">IFERROR(__xludf.DUMMYFUNCTION("""COMPUTED_VALUE"""),"$5,000,000 USD")</f>
        <v>$5,000,000 USD</v>
      </c>
      <c r="K166" s="6" t="str">
        <f ca="1">IFERROR(__xludf.DUMMYFUNCTION("""COMPUTED_VALUE"""),"ECU")</f>
        <v>ECU</v>
      </c>
      <c r="L166" s="6" t="str">
        <f ca="1">IFERROR(__xludf.DUMMYFUNCTION("""COMPUTED_VALUE"""),"Ecuador")</f>
        <v>Ecuador</v>
      </c>
      <c r="M166" s="6" t="str">
        <f ca="1">IFERROR(__xludf.DUMMYFUNCTION("""COMPUTED_VALUE"""),"On the river Chico in Manabí, Ecuador")</f>
        <v>On the river Chico in Manabí, Ecuador</v>
      </c>
      <c r="N166" s="6" t="str">
        <f ca="1">IFERROR(__xludf.DUMMYFUNCTION("""COMPUTED_VALUE"""),"Part of the group of Chinese projects attempting to reconstruct various infrastructure issues in Ecuador after the 7.8 magnitude April 2016 earthquake, the Pimpiguasí bridge is planned for the Chico river in Manabi. It will be 30 meters long and is funded"&amp;", like the Canuto Bridge, through a CHEXIM loan of $5 million USD.Construction will be completed by the consortium China Road and Bridge Corporation (CRBC), which is composed of the China National Electronics Import &amp; Export (CEIEC) and the Ecuadorian Min"&amp;"istry of Transportation and Public Works. The contract for the bridge--which also included the Canuto bridge, Quinidé-Las Golondrinas highway, and Eloy Alfaro de Manta airport--was signed between the MTOP and the consortium on November 30th, 2017. Current"&amp;" construction status is unknown. The previous bridge at this site, which is being replaced by this project, was operational for 40 years.")</f>
        <v>Part of the group of Chinese projects attempting to reconstruct various infrastructure issues in Ecuador after the 7.8 magnitude April 2016 earthquake, the Pimpiguasí bridge is planned for the Chico river in Manabi. It will be 30 meters long and is funded, like the Canuto Bridge, through a CHEXIM loan of $5 million USD.Construction will be completed by the consortium China Road and Bridge Corporation (CRBC), which is composed of the China National Electronics Import &amp; Export (CEIEC) and the Ecuadorian Ministry of Transportation and Public Works. The contract for the bridge--which also included the Canuto bridge, Quinidé-Las Golondrinas highway, and Eloy Alfaro de Manta airport--was signed between the MTOP and the consortium on November 30th, 2017. Current construction status is unknown. The previous bridge at this site, which is being replaced by this project, was operational for 40 years.</v>
      </c>
      <c r="O166" s="12">
        <f ca="1">IFERROR(__xludf.DUMMYFUNCTION("""COMPUTED_VALUE"""),43069)</f>
        <v>43069</v>
      </c>
      <c r="P166" s="6" t="str">
        <f ca="1">IFERROR(__xludf.DUMMYFUNCTION("""COMPUTED_VALUE"""),"N/A")</f>
        <v>N/A</v>
      </c>
      <c r="Q166" s="6" t="str">
        <f ca="1">IFERROR(__xludf.DUMMYFUNCTION("""COMPUTED_VALUE"""),"Under construction - unknown")</f>
        <v>Under construction - unknown</v>
      </c>
      <c r="R166" s="6"/>
      <c r="S166" s="9" t="str">
        <f ca="1">IFERROR(__xludf.DUMMYFUNCTION("""COMPUTED_VALUE"""),"https://gist.github.com/cmorin17/126836eb77a1f197bfaab9451976b35a")</f>
        <v>https://gist.github.com/cmorin17/126836eb77a1f197bfaab9451976b35a</v>
      </c>
      <c r="T166" s="6" t="str">
        <f ca="1">IFERROR(__xludf.DUMMYFUNCTION("""COMPUTED_VALUE"""),"BLOB")</f>
        <v>BLOB</v>
      </c>
      <c r="U166" s="6" t="str">
        <f ca="1">IFERROR(__xludf.DUMMYFUNCTION("""COMPUTED_VALUE"""),"omg this took me so long but i feel so triumphant! I think I have the right bridge because its 30 meters long (like the text said), on the Chico river, in the town of Riochico. ADM1 is Manabi Province")</f>
        <v>omg this took me so long but i feel so triumphant! I think I have the right bridge because its 30 meters long (like the text said), on the Chico river, in the town of Riochico. ADM1 is Manabi Province</v>
      </c>
      <c r="V166" s="6" t="str">
        <f ca="1">IFERROR(__xludf.DUMMYFUNCTION("""COMPUTED_VALUE"""),"Yes (Both)")</f>
        <v>Yes (Both)</v>
      </c>
      <c r="W166" s="6" t="str">
        <f ca="1">IFERROR(__xludf.DUMMYFUNCTION("""COMPUTED_VALUE"""),"Manabí")</f>
        <v>Manabí</v>
      </c>
      <c r="X166" s="6"/>
      <c r="Y166" s="6"/>
      <c r="Z166" s="6"/>
      <c r="AA166" s="6"/>
      <c r="AB166" s="6"/>
      <c r="AC166" s="6"/>
      <c r="AD166" s="6"/>
      <c r="AE166" s="6"/>
      <c r="AF166" s="6"/>
      <c r="AG166" s="6"/>
    </row>
    <row r="167" spans="1:33" ht="118.8" x14ac:dyDescent="0.25">
      <c r="A167" s="6">
        <f ca="1">IFERROR(__xludf.DUMMYFUNCTION("""COMPUTED_VALUE"""),204)</f>
        <v>204</v>
      </c>
      <c r="B167" s="6">
        <f ca="1">IFERROR(__xludf.DUMMYFUNCTION("""COMPUTED_VALUE"""),3)</f>
        <v>3</v>
      </c>
      <c r="C167" s="6" t="str">
        <f ca="1">IFERROR(__xludf.DUMMYFUNCTION("""COMPUTED_VALUE"""),"Pedernales Hospital")</f>
        <v>Pedernales Hospital</v>
      </c>
      <c r="D167" s="6" t="str">
        <f ca="1">IFERROR(__xludf.DUMMYFUNCTION("""COMPUTED_VALUE"""),"CDB")</f>
        <v>CDB</v>
      </c>
      <c r="E167" s="6" t="str">
        <f ca="1">IFERROR(__xludf.DUMMYFUNCTION("""COMPUTED_VALUE"""),"CDB")</f>
        <v>CDB</v>
      </c>
      <c r="F167" s="6" t="str">
        <f ca="1">IFERROR(__xludf.DUMMYFUNCTION("""COMPUTED_VALUE"""),"China CAMC Engineering")</f>
        <v>China CAMC Engineering</v>
      </c>
      <c r="G167" s="6">
        <f ca="1">IFERROR(__xludf.DUMMYFUNCTION("""COMPUTED_VALUE"""),1.2)</f>
        <v>1.2</v>
      </c>
      <c r="H167" s="6" t="str">
        <f ca="1">IFERROR(__xludf.DUMMYFUNCTION("""COMPUTED_VALUE"""),"Medical")</f>
        <v>Medical</v>
      </c>
      <c r="I167" s="6" t="str">
        <f ca="1">IFERROR(__xludf.DUMMYFUNCTION("""COMPUTED_VALUE"""),"Loan")</f>
        <v>Loan</v>
      </c>
      <c r="J167" s="6" t="str">
        <f ca="1">IFERROR(__xludf.DUMMYFUNCTION("""COMPUTED_VALUE"""),"$16,400,000 USD")</f>
        <v>$16,400,000 USD</v>
      </c>
      <c r="K167" s="6" t="str">
        <f ca="1">IFERROR(__xludf.DUMMYFUNCTION("""COMPUTED_VALUE"""),"ECU")</f>
        <v>ECU</v>
      </c>
      <c r="L167" s="6" t="str">
        <f ca="1">IFERROR(__xludf.DUMMYFUNCTION("""COMPUTED_VALUE"""),"Ecuador")</f>
        <v>Ecuador</v>
      </c>
      <c r="M167" s="6" t="str">
        <f ca="1">IFERROR(__xludf.DUMMYFUNCTION("""COMPUTED_VALUE"""),"Pedernales Canton, Ecuador")</f>
        <v>Pedernales Canton, Ecuador</v>
      </c>
      <c r="N167" s="6" t="str">
        <f ca="1">IFERROR(__xludf.DUMMYFUNCTION("""COMPUTED_VALUE"""),"The Pedernales hospital is a 30-bed basic hospital that is planned for the Pedernales Canton in Ecuador. On September 30th, 2020, the Ministry of Transport and Public Works stated that the Ecuadorian government had confirmed a line of credit of $16.4 mill"&amp;"ion USD from the CDB for the construction of the hospital. This announcement came after three failed attempts to finance the construction since 2018, with the last attempt (in 2020) involving the Pedernales Manabí Consortium, whose main representatives ar"&amp;"e detained as part of a corruption scheme involving two former assembly members. The 2020 attempt, even prior to the detainment, was met with widespread protests by local communities in August and September 2020. As part of the current deal, in order to a"&amp;"void the previous Ecuadorian corruption associated with the project, the CDB required that MTOP hire a Chinese construction company, making all of the actors for the project Chinese. China's CAMC Engineering was chosen as the implementer. The project will"&amp;" be built on a 31,658 square meter site. Construction began on November 27, 2020 and is expected to be completed by the end of 2021.")</f>
        <v>The Pedernales hospital is a 30-bed basic hospital that is planned for the Pedernales Canton in Ecuador. On September 30th, 2020, the Ministry of Transport and Public Works stated that the Ecuadorian government had confirmed a line of credit of $16.4 million USD from the CDB for the construction of the hospital. This announcement came after three failed attempts to finance the construction since 2018, with the last attempt (in 2020) involving the Pedernales Manabí Consortium, whose main representatives are detained as part of a corruption scheme involving two former assembly members. The 2020 attempt, even prior to the detainment, was met with widespread protests by local communities in August and September 2020. As part of the current deal, in order to avoid the previous Ecuadorian corruption associated with the project, the CDB required that MTOP hire a Chinese construction company, making all of the actors for the project Chinese. China's CAMC Engineering was chosen as the implementer. The project will be built on a 31,658 square meter site. Construction began on November 27, 2020 and is expected to be completed by the end of 2021.</v>
      </c>
      <c r="O167" s="12">
        <f ca="1">IFERROR(__xludf.DUMMYFUNCTION("""COMPUTED_VALUE"""),44527)</f>
        <v>44527</v>
      </c>
      <c r="P167" s="6" t="str">
        <f ca="1">IFERROR(__xludf.DUMMYFUNCTION("""COMPUTED_VALUE"""),"N/A")</f>
        <v>N/A</v>
      </c>
      <c r="Q167" s="6" t="str">
        <f ca="1">IFERROR(__xludf.DUMMYFUNCTION("""COMPUTED_VALUE"""),"Under construction - on time")</f>
        <v>Under construction - on time</v>
      </c>
      <c r="R167" s="6"/>
      <c r="S167" s="9" t="str">
        <f ca="1">IFERROR(__xludf.DUMMYFUNCTION("""COMPUTED_VALUE"""),"https://gist.github.com/Remy2020/e9ab39ba09fdc1a82feeb3a667127ccf")</f>
        <v>https://gist.github.com/Remy2020/e9ab39ba09fdc1a82feeb3a667127ccf</v>
      </c>
      <c r="T167" s="6" t="str">
        <f ca="1">IFERROR(__xludf.DUMMYFUNCTION("""COMPUTED_VALUE"""),"BLOB")</f>
        <v>BLOB</v>
      </c>
      <c r="U167" s="6" t="str">
        <f ca="1">IFERROR(__xludf.DUMMYFUNCTION("""COMPUTED_VALUE"""),"Reference Google Earth which knew where the hospital was. Last satellite image from from November 2020, which was exactly when construction started. The only construction that is visible is the boundary for where construction is going to happen so I tried"&amp;" to follow that.")</f>
        <v>Reference Google Earth which knew where the hospital was. Last satellite image from from November 2020, which was exactly when construction started. The only construction that is visible is the boundary for where construction is going to happen so I tried to follow that.</v>
      </c>
      <c r="V167" s="6" t="str">
        <f ca="1">IFERROR(__xludf.DUMMYFUNCTION("""COMPUTED_VALUE"""),"Yes (Both)")</f>
        <v>Yes (Both)</v>
      </c>
      <c r="W167" s="6" t="str">
        <f ca="1">IFERROR(__xludf.DUMMYFUNCTION("""COMPUTED_VALUE"""),"Manabí")</f>
        <v>Manabí</v>
      </c>
      <c r="X167" s="6"/>
      <c r="Y167" s="6"/>
      <c r="Z167" s="6"/>
      <c r="AA167" s="6"/>
      <c r="AB167" s="6"/>
      <c r="AC167" s="6"/>
      <c r="AD167" s="6"/>
      <c r="AE167" s="6"/>
      <c r="AF167" s="6"/>
      <c r="AG167" s="6"/>
    </row>
    <row r="168" spans="1:33" ht="66" x14ac:dyDescent="0.25">
      <c r="A168" s="6">
        <f ca="1">IFERROR(__xludf.DUMMYFUNCTION("""COMPUTED_VALUE"""),205)</f>
        <v>205</v>
      </c>
      <c r="B168" s="6">
        <f ca="1">IFERROR(__xludf.DUMMYFUNCTION("""COMPUTED_VALUE"""),3)</f>
        <v>3</v>
      </c>
      <c r="C168" s="6" t="str">
        <f ca="1">IFERROR(__xludf.DUMMYFUNCTION("""COMPUTED_VALUE"""),"Segmental Bridge ")</f>
        <v xml:space="preserve">Segmental Bridge </v>
      </c>
      <c r="D168" s="6" t="str">
        <f ca="1">IFERROR(__xludf.DUMMYFUNCTION("""COMPUTED_VALUE"""),"Other Institution")</f>
        <v>Other Institution</v>
      </c>
      <c r="E168" s="6" t="str">
        <f ca="1">IFERROR(__xludf.DUMMYFUNCTION("""COMPUTED_VALUE"""),"Inter-American Development Bank (IDB)")</f>
        <v>Inter-American Development Bank (IDB)</v>
      </c>
      <c r="F168" s="6" t="str">
        <f ca="1">IFERROR(__xludf.DUMMYFUNCTION("""COMPUTED_VALUE"""),"Chinese Company Guangxi Road &amp; Bridge Engineering Corporation")</f>
        <v>Chinese Company Guangxi Road &amp; Bridge Engineering Corporation</v>
      </c>
      <c r="G168" s="6">
        <f ca="1">IFERROR(__xludf.DUMMYFUNCTION("""COMPUTED_VALUE"""),9)</f>
        <v>9</v>
      </c>
      <c r="H168" s="6" t="str">
        <f ca="1">IFERROR(__xludf.DUMMYFUNCTION("""COMPUTED_VALUE"""),"Bridge")</f>
        <v>Bridge</v>
      </c>
      <c r="I168" s="6" t="str">
        <f ca="1">IFERROR(__xludf.DUMMYFUNCTION("""COMPUTED_VALUE"""),"Loan")</f>
        <v>Loan</v>
      </c>
      <c r="J168" s="6" t="str">
        <f ca="1">IFERROR(__xludf.DUMMYFUNCTION("""COMPUTED_VALUE"""),"$101,400,000 USD")</f>
        <v>$101,400,000 USD</v>
      </c>
      <c r="K168" s="6" t="str">
        <f ca="1">IFERROR(__xludf.DUMMYFUNCTION("""COMPUTED_VALUE"""),"ECU")</f>
        <v>ECU</v>
      </c>
      <c r="L168" s="6" t="str">
        <f ca="1">IFERROR(__xludf.DUMMYFUNCTION("""COMPUTED_VALUE"""),"Ecuador")</f>
        <v>Ecuador</v>
      </c>
      <c r="M168" s="6" t="str">
        <f ca="1">IFERROR(__xludf.DUMMYFUNCTION("""COMPUTED_VALUE"""),"Crosses the Babahoyo River in Durán, Guayas province, Ecuador")</f>
        <v>Crosses the Babahoyo River in Durán, Guayas province, Ecuador</v>
      </c>
      <c r="N168" s="6" t="str">
        <f ca="1">IFERROR(__xludf.DUMMYFUNCTION("""COMPUTED_VALUE"""),"Inaugurated in 2011 and serving as the first Ecuadorian bridge built by a Chinese firm with IDB financing, the Segmental Bridge crosses the Babahoyo River in Durán, Guayas province. It is 1.975 kilometers long and 20.8 meters wide, with 4 lanes that are d"&amp;"esigned to accommodate 70,000 vehicles daily. It will reduce travel times by approximately 50% between the Ecuadorian coast and major market centers, reducing market costs by approximately 25%. IDB provided $101.4 million for the project as part of a $350"&amp;" million loan for the First Road Maintenance and Infrastructure Program signed in February 2010.")</f>
        <v>Inaugurated in 2011 and serving as the first Ecuadorian bridge built by a Chinese firm with IDB financing, the Segmental Bridge crosses the Babahoyo River in Durán, Guayas province. It is 1.975 kilometers long and 20.8 meters wide, with 4 lanes that are designed to accommodate 70,000 vehicles daily. It will reduce travel times by approximately 50% between the Ecuadorian coast and major market centers, reducing market costs by approximately 25%. IDB provided $101.4 million for the project as part of a $350 million loan for the First Road Maintenance and Infrastructure Program signed in February 2010.</v>
      </c>
      <c r="O168" s="8">
        <f ca="1">IFERROR(__xludf.DUMMYFUNCTION("""COMPUTED_VALUE"""),40100)</f>
        <v>40100</v>
      </c>
      <c r="P168" s="12">
        <f ca="1">IFERROR(__xludf.DUMMYFUNCTION("""COMPUTED_VALUE"""),40812)</f>
        <v>40812</v>
      </c>
      <c r="Q168" s="6" t="str">
        <f ca="1">IFERROR(__xludf.DUMMYFUNCTION("""COMPUTED_VALUE"""),"Completed")</f>
        <v>Completed</v>
      </c>
      <c r="R168" s="6" t="str">
        <f ca="1">IFERROR(__xludf.DUMMYFUNCTION("""COMPUTED_VALUE"""),"BDG")</f>
        <v>BDG</v>
      </c>
      <c r="S168" s="6" t="str">
        <f ca="1">IFERROR(__xludf.DUMMYFUNCTION("""COMPUTED_VALUE"""),"ECU-ADM1-3_0_0-B9")</f>
        <v>ECU-ADM1-3_0_0-B9</v>
      </c>
      <c r="T168" s="6" t="str">
        <f ca="1">IFERROR(__xludf.DUMMYFUNCTION("""COMPUTED_VALUE"""),"ADM1")</f>
        <v>ADM1</v>
      </c>
      <c r="U168" s="6" t="str">
        <f ca="1">IFERROR(__xludf.DUMMYFUNCTION("""COMPUTED_VALUE"""),"For the life of me I cannot find this I searched all the bridges in this river. Is this a situation where I should code up? If so, it's in the Guayas province for ADM1 (ADM2 would be the Durán canton)")</f>
        <v>For the life of me I cannot find this I searched all the bridges in this river. Is this a situation where I should code up? If so, it's in the Guayas province for ADM1 (ADM2 would be the Durán canton)</v>
      </c>
      <c r="V168" s="6" t="str">
        <f ca="1">IFERROR(__xludf.DUMMYFUNCTION("""COMPUTED_VALUE"""),"Yes (Both)")</f>
        <v>Yes (Both)</v>
      </c>
      <c r="W168" s="6" t="str">
        <f ca="1">IFERROR(__xludf.DUMMYFUNCTION("""COMPUTED_VALUE"""),"Guayas")</f>
        <v>Guayas</v>
      </c>
      <c r="X168" s="6"/>
      <c r="Y168" s="6"/>
      <c r="Z168" s="6"/>
      <c r="AA168" s="6"/>
      <c r="AB168" s="6"/>
      <c r="AC168" s="6"/>
      <c r="AD168" s="6"/>
      <c r="AE168" s="6"/>
      <c r="AF168" s="6"/>
      <c r="AG168" s="6"/>
    </row>
    <row r="169" spans="1:33" ht="13.2"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row>
    <row r="170" spans="1:33" ht="13.2"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row>
    <row r="171" spans="1:33" ht="13.2"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row>
    <row r="172" spans="1:33" ht="13.2"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row>
    <row r="173" spans="1:33" ht="13.2"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row>
    <row r="174" spans="1:33" ht="13.2"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row>
    <row r="175" spans="1:33" ht="13.2"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row>
    <row r="176" spans="1:33" ht="13.2"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row>
    <row r="177" spans="1:33" ht="13.2"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row>
    <row r="178" spans="1:33" ht="13.2"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row>
    <row r="179" spans="1:33" ht="13.2"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row>
    <row r="180" spans="1:33" ht="13.2"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row>
    <row r="181" spans="1:33" ht="13.2"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row>
    <row r="182" spans="1:33" ht="13.2"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row>
    <row r="183" spans="1:33" ht="13.2"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row>
    <row r="184" spans="1:33" ht="13.2"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row>
    <row r="185" spans="1:33" ht="13.2"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row>
    <row r="186" spans="1:33" ht="13.2"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row>
    <row r="187" spans="1:33" ht="13.2"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row>
    <row r="188" spans="1:33" ht="13.2"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row>
    <row r="189" spans="1:33" ht="13.2"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row>
    <row r="190" spans="1:33" ht="13.2"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row>
    <row r="191" spans="1:33" ht="13.2"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row>
    <row r="192" spans="1:33" ht="13.2"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row>
    <row r="193" spans="1:33" ht="13.2"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row>
    <row r="194" spans="1:33" ht="13.2"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row>
    <row r="195" spans="1:33" ht="13.2"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row>
    <row r="196" spans="1:33" ht="13.2"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row>
    <row r="197" spans="1:33" ht="13.2"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row>
    <row r="198" spans="1:33" ht="13.2"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row>
    <row r="199" spans="1:33" ht="13.2"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row>
    <row r="200" spans="1:33" ht="13.2"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spans="1:33" ht="13.2"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row>
    <row r="202" spans="1:33" ht="13.2"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row>
    <row r="203" spans="1:33" ht="13.2"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row>
    <row r="204" spans="1:33" ht="13.2"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row>
    <row r="205" spans="1:33" ht="13.2"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row>
    <row r="206" spans="1:33" ht="13.2"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row>
    <row r="207" spans="1:33" ht="13.2"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row>
    <row r="208" spans="1:33" ht="13.2"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row>
    <row r="209" spans="1:33" ht="13.2"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row>
    <row r="210" spans="1:33" ht="13.2"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row>
    <row r="211" spans="1:33" ht="13.2"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row>
    <row r="212" spans="1:33" ht="13.2"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row>
    <row r="213" spans="1:33" ht="13.2"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row>
    <row r="214" spans="1:33" ht="13.2"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row>
    <row r="215" spans="1:33" ht="13.2"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row>
    <row r="216" spans="1:33" ht="13.2"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row>
    <row r="217" spans="1:33" ht="13.2"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row>
    <row r="218" spans="1:33" ht="13.2"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row>
    <row r="219" spans="1:33" ht="13.2"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row>
    <row r="220" spans="1:33" ht="13.2"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row>
    <row r="221" spans="1:33" ht="13.2"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row>
    <row r="222" spans="1:33" ht="13.2"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row>
    <row r="223" spans="1:33" ht="13.2"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row>
    <row r="224" spans="1:33" ht="13.2"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row>
    <row r="225" spans="1:33" ht="13.2"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row>
    <row r="226" spans="1:33" ht="13.2"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row>
    <row r="227" spans="1:33" ht="13.2"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row>
    <row r="228" spans="1:33" ht="13.2"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row>
    <row r="229" spans="1:33" ht="13.2"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row>
    <row r="230" spans="1:33" ht="13.2"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row>
    <row r="231" spans="1:33" ht="13.2"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row>
    <row r="232" spans="1:33" ht="13.2"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row>
    <row r="233" spans="1:33" ht="13.2"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row>
    <row r="234" spans="1:33" ht="13.2"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row>
    <row r="235" spans="1:33" ht="13.2"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row>
    <row r="236" spans="1:33" ht="13.2"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row>
    <row r="237" spans="1:33" ht="13.2"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row>
    <row r="238" spans="1:33" ht="13.2"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row>
    <row r="239" spans="1:33" ht="13.2"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row>
    <row r="240" spans="1:33" ht="13.2"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row>
    <row r="241" spans="1:33" ht="13.2"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row>
    <row r="242" spans="1:33" ht="13.2"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row>
    <row r="243" spans="1:33" ht="13.2"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row>
    <row r="244" spans="1:33" ht="13.2"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row>
    <row r="245" spans="1:33" ht="13.2"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row>
    <row r="246" spans="1:33" ht="13.2"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row>
    <row r="247" spans="1:33" ht="13.2"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row>
    <row r="248" spans="1:33" ht="13.2"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row>
    <row r="249" spans="1:33" ht="13.2"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row>
    <row r="250" spans="1:33" ht="13.2"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row>
    <row r="251" spans="1:33" ht="13.2"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row>
    <row r="252" spans="1:33" ht="13.2"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row>
    <row r="253" spans="1:33" ht="13.2"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row>
    <row r="254" spans="1:33" ht="13.2"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row>
    <row r="255" spans="1:33" ht="13.2"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row>
    <row r="256" spans="1:33" ht="13.2"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row>
    <row r="257" spans="1:33" ht="13.2"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row>
    <row r="258" spans="1:33" ht="13.2"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row>
    <row r="259" spans="1:33" ht="13.2"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row>
    <row r="260" spans="1:33" ht="13.2"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row>
    <row r="261" spans="1:33" ht="13.2"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row>
    <row r="262" spans="1:33" ht="13.2"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row>
    <row r="263" spans="1:33" ht="13.2"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row>
    <row r="264" spans="1:33" ht="13.2"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row>
    <row r="265" spans="1:33" ht="13.2"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row>
    <row r="266" spans="1:33" ht="13.2"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row>
    <row r="267" spans="1:33" ht="13.2"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row>
    <row r="268" spans="1:33" ht="13.2"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row>
    <row r="269" spans="1:33" ht="13.2"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row>
    <row r="270" spans="1:33" ht="13.2"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row>
    <row r="271" spans="1:33" ht="13.2"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row>
    <row r="272" spans="1:33" ht="13.2"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row>
    <row r="273" spans="1:33" ht="13.2"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row>
    <row r="274" spans="1:33" ht="13.2"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row>
    <row r="275" spans="1:33" ht="13.2"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row>
    <row r="276" spans="1:33" ht="13.2"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row>
    <row r="277" spans="1:33" ht="13.2"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row>
    <row r="278" spans="1:33" ht="13.2"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row>
    <row r="279" spans="1:33" ht="13.2"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row>
    <row r="280" spans="1:33" ht="13.2"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row>
    <row r="281" spans="1:33" ht="13.2"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row>
    <row r="282" spans="1:33" ht="13.2"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row>
    <row r="283" spans="1:33" ht="13.2"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row>
    <row r="284" spans="1:33" ht="13.2"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row>
    <row r="285" spans="1:33" ht="13.2"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row>
    <row r="286" spans="1:33" ht="13.2"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row>
    <row r="287" spans="1:33" ht="13.2"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row>
    <row r="288" spans="1:33" ht="13.2"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row>
    <row r="289" spans="1:33" ht="13.2"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row>
    <row r="290" spans="1:33" ht="13.2"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row>
    <row r="291" spans="1:33" ht="13.2"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row>
    <row r="292" spans="1:33" ht="13.2"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row>
    <row r="293" spans="1:33" ht="13.2"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row>
    <row r="294" spans="1:33" ht="13.2"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row>
    <row r="295" spans="1:33" ht="13.2"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row>
    <row r="296" spans="1:33" ht="13.2"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row>
    <row r="297" spans="1:33" ht="13.2"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row>
    <row r="298" spans="1:33" ht="13.2"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row>
    <row r="299" spans="1:33" ht="13.2"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row>
    <row r="300" spans="1:33" ht="13.2"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row>
    <row r="301" spans="1:33" ht="13.2"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row>
    <row r="302" spans="1:33" ht="13.2"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row>
    <row r="303" spans="1:33" ht="13.2"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row>
    <row r="304" spans="1:33" ht="13.2"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row>
    <row r="305" spans="1:33" ht="13.2"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row>
    <row r="306" spans="1:33" ht="13.2"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row>
    <row r="307" spans="1:33" ht="13.2"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row>
    <row r="308" spans="1:33" ht="13.2"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row>
    <row r="309" spans="1:33" ht="13.2"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row>
    <row r="310" spans="1:33" ht="13.2"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row>
    <row r="311" spans="1:33" ht="13.2"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row>
    <row r="312" spans="1:33" ht="13.2"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row>
    <row r="313" spans="1:33" ht="13.2"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row>
    <row r="314" spans="1:33" ht="13.2"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row>
    <row r="315" spans="1:33" ht="13.2"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row>
    <row r="316" spans="1:33" ht="13.2"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row>
    <row r="317" spans="1:33" ht="13.2"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row>
    <row r="318" spans="1:33" ht="13.2"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row>
    <row r="319" spans="1:33" ht="13.2"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row>
    <row r="320" spans="1:33" ht="13.2"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row>
    <row r="321" spans="1:33" ht="13.2"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row>
    <row r="322" spans="1:33" ht="13.2"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row>
    <row r="323" spans="1:33" ht="13.2"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row>
    <row r="324" spans="1:33" ht="13.2"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row>
    <row r="325" spans="1:33" ht="13.2"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row>
    <row r="326" spans="1:33" ht="13.2"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row>
    <row r="327" spans="1:33" ht="13.2"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row>
    <row r="328" spans="1:33" ht="13.2"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row>
    <row r="329" spans="1:33" ht="13.2"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row>
    <row r="330" spans="1:33" ht="13.2"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row>
    <row r="331" spans="1:33" ht="13.2"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row>
    <row r="332" spans="1:33" ht="13.2"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row>
    <row r="333" spans="1:33" ht="13.2"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row>
    <row r="334" spans="1:33" ht="13.2"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row>
    <row r="335" spans="1:33" ht="13.2"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row>
    <row r="336" spans="1:33" ht="13.2"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row>
    <row r="337" spans="1:33" ht="13.2"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row>
    <row r="338" spans="1:33" ht="13.2"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row>
    <row r="339" spans="1:33" ht="13.2"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row>
    <row r="340" spans="1:33" ht="13.2"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row>
    <row r="341" spans="1:33" ht="13.2"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row>
    <row r="342" spans="1:33" ht="13.2"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row>
    <row r="343" spans="1:33" ht="13.2"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row>
    <row r="344" spans="1:33" ht="13.2"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row>
    <row r="345" spans="1:33" ht="13.2"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row>
    <row r="346" spans="1:33" ht="13.2"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row>
    <row r="347" spans="1:33" ht="13.2"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row>
    <row r="348" spans="1:33" ht="13.2"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row>
    <row r="349" spans="1:33" ht="13.2"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row>
    <row r="350" spans="1:33" ht="13.2"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row>
    <row r="351" spans="1:33" ht="13.2"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row>
    <row r="352" spans="1:33" ht="13.2"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row>
    <row r="353" spans="1:33" ht="13.2"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row>
    <row r="354" spans="1:33" ht="13.2"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row>
    <row r="355" spans="1:33" ht="13.2"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row>
    <row r="356" spans="1:33" ht="13.2"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row>
    <row r="357" spans="1:33" ht="13.2"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row>
    <row r="358" spans="1:33" ht="13.2"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row>
    <row r="359" spans="1:33" ht="13.2"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row>
    <row r="360" spans="1:33" ht="13.2"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row>
    <row r="361" spans="1:33" ht="13.2"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row>
    <row r="362" spans="1:33" ht="13.2"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row>
    <row r="363" spans="1:33" ht="13.2"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row>
    <row r="364" spans="1:33" ht="13.2"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row>
    <row r="365" spans="1:33" ht="13.2"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row>
    <row r="366" spans="1:33" ht="13.2"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row>
    <row r="367" spans="1:33" ht="13.2"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row>
    <row r="368" spans="1:33" ht="13.2"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row>
    <row r="369" spans="1:33" ht="13.2"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row>
    <row r="370" spans="1:33" ht="13.2"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row>
    <row r="371" spans="1:33" ht="13.2"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row>
    <row r="372" spans="1:33" ht="13.2"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row>
    <row r="373" spans="1:33" ht="13.2"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row>
    <row r="374" spans="1:33" ht="13.2"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row>
    <row r="375" spans="1:33" ht="13.2"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row>
    <row r="376" spans="1:33" ht="13.2"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row>
    <row r="377" spans="1:33" ht="13.2"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row>
    <row r="378" spans="1:33" ht="13.2"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row>
    <row r="379" spans="1:33" ht="13.2"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row>
    <row r="380" spans="1:33" ht="13.2"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row>
    <row r="381" spans="1:33" ht="13.2"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row>
    <row r="382" spans="1:33" ht="13.2"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row>
    <row r="383" spans="1:33" ht="13.2"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row>
    <row r="384" spans="1:33" ht="13.2"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row>
    <row r="385" spans="1:33" ht="13.2"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row>
    <row r="386" spans="1:33" ht="13.2"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row>
    <row r="387" spans="1:33" ht="13.2"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row>
    <row r="388" spans="1:33" ht="13.2"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row>
    <row r="389" spans="1:33" ht="13.2"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row>
    <row r="390" spans="1:33" ht="13.2"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row>
    <row r="391" spans="1:33" ht="13.2"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row>
    <row r="392" spans="1:33" ht="13.2"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row>
    <row r="393" spans="1:33" ht="13.2"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row>
    <row r="394" spans="1:33" ht="13.2"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row>
    <row r="395" spans="1:33" ht="13.2"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row>
    <row r="396" spans="1:33" ht="13.2"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row>
    <row r="397" spans="1:33" ht="13.2"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row>
    <row r="398" spans="1:33" ht="13.2"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row>
    <row r="399" spans="1:33" ht="13.2"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row>
    <row r="400" spans="1:33" ht="13.2"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row>
    <row r="401" spans="1:33" ht="13.2"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row>
    <row r="402" spans="1:33" ht="13.2"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row>
    <row r="403" spans="1:33" ht="13.2"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row>
    <row r="404" spans="1:33" ht="13.2"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row>
    <row r="405" spans="1:33" ht="13.2"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row>
    <row r="406" spans="1:33" ht="13.2"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row>
    <row r="407" spans="1:33" ht="13.2"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row>
    <row r="408" spans="1:33" ht="13.2"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row>
    <row r="409" spans="1:33" ht="13.2"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row>
    <row r="410" spans="1:33" ht="13.2"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row>
    <row r="411" spans="1:33" ht="13.2"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row>
    <row r="412" spans="1:33" ht="13.2"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row>
    <row r="413" spans="1:33" ht="13.2"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row>
    <row r="414" spans="1:33" ht="13.2"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row>
    <row r="415" spans="1:33" ht="13.2"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row>
    <row r="416" spans="1:33" ht="13.2"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row>
    <row r="417" spans="1:33" ht="13.2"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row>
    <row r="418" spans="1:33" ht="13.2"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row>
    <row r="419" spans="1:33" ht="13.2"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row>
    <row r="420" spans="1:33" ht="13.2"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row>
    <row r="421" spans="1:33" ht="13.2"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row>
    <row r="422" spans="1:33" ht="13.2"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row>
    <row r="423" spans="1:33" ht="13.2"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row>
    <row r="424" spans="1:33" ht="13.2"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row>
    <row r="425" spans="1:33" ht="13.2"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row>
    <row r="426" spans="1:33" ht="13.2"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row>
    <row r="427" spans="1:33" ht="13.2"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row>
    <row r="428" spans="1:33" ht="13.2"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row>
    <row r="429" spans="1:33" ht="13.2"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row>
    <row r="430" spans="1:33" ht="13.2"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row>
    <row r="431" spans="1:33" ht="13.2"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row>
    <row r="432" spans="1:33" ht="13.2"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row>
    <row r="433" spans="1:33" ht="13.2"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row>
    <row r="434" spans="1:33" ht="13.2"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row>
    <row r="435" spans="1:33" ht="13.2"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row>
    <row r="436" spans="1:33" ht="13.2"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row>
    <row r="437" spans="1:33" ht="13.2"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row>
    <row r="438" spans="1:33" ht="13.2"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row>
    <row r="439" spans="1:33" ht="13.2"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row>
    <row r="440" spans="1:33" ht="13.2"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row>
    <row r="441" spans="1:33" ht="13.2"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row>
    <row r="442" spans="1:33" ht="13.2"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row>
    <row r="443" spans="1:33" ht="13.2"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row>
    <row r="444" spans="1:33" ht="13.2"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row>
    <row r="445" spans="1:33" ht="13.2"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row>
    <row r="446" spans="1:33" ht="13.2"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row>
    <row r="447" spans="1:33" ht="13.2"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row>
    <row r="448" spans="1:33" ht="13.2"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row>
    <row r="449" spans="1:33" ht="13.2"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row>
    <row r="450" spans="1:33" ht="13.2"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row>
    <row r="451" spans="1:33" ht="13.2"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row>
    <row r="452" spans="1:33" ht="13.2"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row>
    <row r="453" spans="1:33" ht="13.2"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row>
    <row r="454" spans="1:33" ht="13.2"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row>
    <row r="455" spans="1:33" ht="13.2"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row>
    <row r="456" spans="1:33" ht="13.2"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row>
    <row r="457" spans="1:33" ht="13.2"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row>
    <row r="458" spans="1:33" ht="13.2"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row>
    <row r="459" spans="1:33" ht="13.2"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row>
    <row r="460" spans="1:33" ht="13.2"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row>
    <row r="461" spans="1:33" ht="13.2"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row>
    <row r="462" spans="1:33" ht="13.2"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row>
    <row r="463" spans="1:33" ht="13.2"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row>
    <row r="464" spans="1:33" ht="13.2"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row>
    <row r="465" spans="1:33" ht="13.2"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row>
    <row r="466" spans="1:33" ht="13.2"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row>
    <row r="467" spans="1:33" ht="13.2"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row>
    <row r="468" spans="1:33" ht="13.2"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row>
    <row r="469" spans="1:33" ht="13.2"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row>
    <row r="470" spans="1:33" ht="13.2"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row>
    <row r="471" spans="1:33" ht="13.2"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row>
    <row r="472" spans="1:33" ht="13.2"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row>
    <row r="473" spans="1:33" ht="13.2"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row>
    <row r="474" spans="1:33" ht="13.2"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row>
    <row r="475" spans="1:33" ht="13.2"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row>
    <row r="476" spans="1:33" ht="13.2"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row>
    <row r="477" spans="1:33" ht="13.2"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row>
    <row r="478" spans="1:33" ht="13.2"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row>
    <row r="479" spans="1:33" ht="13.2"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row>
    <row r="480" spans="1:33" ht="13.2"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row>
    <row r="481" spans="1:33" ht="13.2"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row>
    <row r="482" spans="1:33" ht="13.2"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row>
    <row r="483" spans="1:33" ht="13.2"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row>
    <row r="484" spans="1:33" ht="13.2"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row>
    <row r="485" spans="1:33" ht="13.2"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row>
    <row r="486" spans="1:33" ht="13.2"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row>
    <row r="487" spans="1:33" ht="13.2"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row>
    <row r="488" spans="1:33" ht="13.2"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row>
    <row r="489" spans="1:33" ht="13.2"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row>
    <row r="490" spans="1:33" ht="13.2"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row>
    <row r="491" spans="1:33" ht="13.2"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row>
    <row r="492" spans="1:33" ht="13.2"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row>
    <row r="493" spans="1:33" ht="13.2"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row>
    <row r="494" spans="1:33" ht="13.2"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row>
    <row r="495" spans="1:33" ht="13.2"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row>
    <row r="496" spans="1:33" ht="13.2"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row>
    <row r="497" spans="1:33" ht="13.2"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row>
    <row r="498" spans="1:33" ht="13.2"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row>
    <row r="499" spans="1:33" ht="13.2"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row>
    <row r="500" spans="1:33" ht="13.2"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row>
    <row r="501" spans="1:33" ht="13.2"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row>
    <row r="502" spans="1:33" ht="13.2"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row>
    <row r="503" spans="1:33" ht="13.2"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row>
    <row r="504" spans="1:33" ht="13.2"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row>
    <row r="505" spans="1:33" ht="13.2"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row>
    <row r="506" spans="1:33" ht="13.2"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row>
    <row r="507" spans="1:33" ht="13.2"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row>
    <row r="508" spans="1:33" ht="13.2"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row>
    <row r="509" spans="1:33" ht="13.2"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row>
    <row r="510" spans="1:33" ht="13.2"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row>
    <row r="511" spans="1:33" ht="13.2"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row>
    <row r="512" spans="1:33" ht="13.2"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row>
    <row r="513" spans="1:33" ht="13.2"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row>
    <row r="514" spans="1:33" ht="13.2"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row>
    <row r="515" spans="1:33" ht="13.2"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row>
    <row r="516" spans="1:33" ht="13.2"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row>
    <row r="517" spans="1:33" ht="13.2"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row>
    <row r="518" spans="1:33" ht="13.2"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row>
    <row r="519" spans="1:33" ht="13.2"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row>
    <row r="520" spans="1:33" ht="13.2"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row>
    <row r="521" spans="1:33" ht="13.2"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row>
    <row r="522" spans="1:33" ht="13.2"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row>
    <row r="523" spans="1:33" ht="13.2"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row>
    <row r="524" spans="1:33" ht="13.2"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row>
    <row r="525" spans="1:33" ht="13.2"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row>
    <row r="526" spans="1:33" ht="13.2"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row>
    <row r="527" spans="1:33" ht="13.2"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row>
    <row r="528" spans="1:33" ht="13.2"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row>
    <row r="529" spans="1:33" ht="13.2"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row>
    <row r="530" spans="1:33" ht="13.2"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row>
    <row r="531" spans="1:33" ht="13.2"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row>
    <row r="532" spans="1:33" ht="13.2"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row>
    <row r="533" spans="1:33" ht="13.2"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row>
    <row r="534" spans="1:33" ht="13.2"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row>
    <row r="535" spans="1:33" ht="13.2"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row>
    <row r="536" spans="1:33" ht="13.2"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row>
    <row r="537" spans="1:33" ht="13.2"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row>
    <row r="538" spans="1:33" ht="13.2"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row>
    <row r="539" spans="1:33" ht="13.2"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row>
    <row r="540" spans="1:33" ht="13.2"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row>
    <row r="541" spans="1:33" ht="13.2"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row>
    <row r="542" spans="1:33" ht="13.2"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row>
    <row r="543" spans="1:33" ht="13.2"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row>
    <row r="544" spans="1:33" ht="13.2"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row>
    <row r="545" spans="1:33" ht="13.2"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row>
    <row r="546" spans="1:33" ht="13.2"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row>
    <row r="547" spans="1:33" ht="13.2"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row>
    <row r="548" spans="1:33" ht="13.2"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row>
    <row r="549" spans="1:33" ht="13.2"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row>
    <row r="550" spans="1:33" ht="13.2"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row>
    <row r="551" spans="1:33" ht="13.2"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row>
    <row r="552" spans="1:33" ht="13.2"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row>
    <row r="553" spans="1:33" ht="13.2"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row>
    <row r="554" spans="1:33" ht="13.2"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row>
    <row r="555" spans="1:33" ht="13.2"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row>
    <row r="556" spans="1:33" ht="13.2"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row>
    <row r="557" spans="1:33" ht="13.2"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row>
    <row r="558" spans="1:33" ht="13.2"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row>
    <row r="559" spans="1:33" ht="13.2"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row>
    <row r="560" spans="1:33" ht="13.2"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row>
    <row r="561" spans="1:33" ht="13.2"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row>
    <row r="562" spans="1:33" ht="13.2"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row>
    <row r="563" spans="1:33" ht="13.2"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row>
    <row r="564" spans="1:33" ht="13.2"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row>
    <row r="565" spans="1:33" ht="13.2"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row>
    <row r="566" spans="1:33" ht="13.2"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row>
    <row r="567" spans="1:33" ht="13.2"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row>
    <row r="568" spans="1:33" ht="13.2"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row>
    <row r="569" spans="1:33" ht="13.2"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row>
    <row r="570" spans="1:33" ht="13.2"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row>
    <row r="571" spans="1:33" ht="13.2"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row>
    <row r="572" spans="1:33" ht="13.2"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row>
    <row r="573" spans="1:33" ht="13.2"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row>
    <row r="574" spans="1:33" ht="13.2"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row>
    <row r="575" spans="1:33" ht="13.2"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row>
    <row r="576" spans="1:33" ht="13.2"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row>
    <row r="577" spans="1:33" ht="13.2"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row>
    <row r="578" spans="1:33" ht="13.2"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row>
    <row r="579" spans="1:33" ht="13.2"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row>
    <row r="580" spans="1:33" ht="13.2"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row>
    <row r="581" spans="1:33" ht="13.2"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row>
    <row r="582" spans="1:33" ht="13.2"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row>
    <row r="583" spans="1:33" ht="13.2"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row>
    <row r="584" spans="1:33" ht="13.2"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row>
    <row r="585" spans="1:33" ht="13.2"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row>
    <row r="586" spans="1:33" ht="13.2"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row>
    <row r="587" spans="1:33" ht="13.2"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row>
    <row r="588" spans="1:33" ht="13.2"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row>
    <row r="589" spans="1:33" ht="13.2"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row>
    <row r="590" spans="1:33" ht="13.2"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row>
    <row r="591" spans="1:33" ht="13.2"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row>
    <row r="592" spans="1:33" ht="13.2"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row>
    <row r="593" spans="1:33" ht="13.2"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row>
    <row r="594" spans="1:33" ht="13.2"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row>
    <row r="595" spans="1:33" ht="13.2"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row>
    <row r="596" spans="1:33" ht="13.2"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row>
    <row r="597" spans="1:33" ht="13.2"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row>
    <row r="598" spans="1:33" ht="13.2"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row>
    <row r="599" spans="1:33" ht="13.2"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row>
    <row r="600" spans="1:33" ht="13.2"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row>
    <row r="601" spans="1:33" ht="13.2"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row>
    <row r="602" spans="1:33" ht="13.2"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row>
    <row r="603" spans="1:33" ht="13.2"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row>
    <row r="604" spans="1:33" ht="13.2"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row>
    <row r="605" spans="1:33" ht="13.2"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row>
    <row r="606" spans="1:33" ht="13.2"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row>
    <row r="607" spans="1:33" ht="13.2"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row>
    <row r="608" spans="1:33" ht="13.2"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row>
    <row r="609" spans="1:33" ht="13.2"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row>
    <row r="610" spans="1:33" ht="13.2"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row>
    <row r="611" spans="1:33" ht="13.2"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row>
    <row r="612" spans="1:33" ht="13.2"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row>
    <row r="613" spans="1:33" ht="13.2"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row>
    <row r="614" spans="1:33" ht="13.2"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row>
    <row r="615" spans="1:33" ht="13.2"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row>
    <row r="616" spans="1:33" ht="13.2"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row>
    <row r="617" spans="1:33" ht="13.2"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row>
    <row r="618" spans="1:33" ht="13.2"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row>
    <row r="619" spans="1:33" ht="13.2"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row>
    <row r="620" spans="1:33" ht="13.2"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row>
    <row r="621" spans="1:33" ht="13.2"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row>
    <row r="622" spans="1:33" ht="13.2"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row>
    <row r="623" spans="1:33" ht="13.2"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row>
    <row r="624" spans="1:33" ht="13.2"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row>
    <row r="625" spans="1:33" ht="13.2"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row>
    <row r="626" spans="1:33" ht="13.2"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row>
    <row r="627" spans="1:33" ht="13.2"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row>
    <row r="628" spans="1:33" ht="13.2"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row>
    <row r="629" spans="1:33" ht="13.2"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row>
    <row r="630" spans="1:33" ht="13.2"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row>
    <row r="631" spans="1:33" ht="13.2"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row>
    <row r="632" spans="1:33" ht="13.2"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row>
    <row r="633" spans="1:33" ht="13.2"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row>
    <row r="634" spans="1:33" ht="13.2"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row>
    <row r="635" spans="1:33" ht="13.2"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row>
    <row r="636" spans="1:33" ht="13.2"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row>
    <row r="637" spans="1:33" ht="13.2"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row>
    <row r="638" spans="1:33" ht="13.2"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row>
    <row r="639" spans="1:33" ht="13.2"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row>
    <row r="640" spans="1:33" ht="13.2"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row>
    <row r="641" spans="1:33" ht="13.2"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row>
    <row r="642" spans="1:33" ht="13.2"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row>
    <row r="643" spans="1:33" ht="13.2"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row>
    <row r="644" spans="1:33" ht="13.2"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row>
    <row r="645" spans="1:33" ht="13.2"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row>
    <row r="646" spans="1:33" ht="13.2"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row>
    <row r="647" spans="1:33" ht="13.2"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row>
    <row r="648" spans="1:33" ht="13.2"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row>
    <row r="649" spans="1:33" ht="13.2"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row>
    <row r="650" spans="1:33" ht="13.2"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row>
    <row r="651" spans="1:33" ht="13.2"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row>
    <row r="652" spans="1:33" ht="13.2"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row>
    <row r="653" spans="1:33" ht="13.2"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row>
    <row r="654" spans="1:33" ht="13.2"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row>
    <row r="655" spans="1:33" ht="13.2"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row>
    <row r="656" spans="1:33" ht="13.2"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row>
    <row r="657" spans="1:33" ht="13.2"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row>
    <row r="658" spans="1:33" ht="13.2"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row>
    <row r="659" spans="1:33" ht="13.2"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row>
    <row r="660" spans="1:33" ht="13.2"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row>
    <row r="661" spans="1:33" ht="13.2"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row>
    <row r="662" spans="1:33" ht="13.2"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row>
    <row r="663" spans="1:33" ht="13.2"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row>
    <row r="664" spans="1:33" ht="13.2"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row>
    <row r="665" spans="1:33" ht="13.2"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row>
    <row r="666" spans="1:33" ht="13.2"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row>
    <row r="667" spans="1:33" ht="13.2"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row>
    <row r="668" spans="1:33" ht="13.2"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row>
    <row r="669" spans="1:33" ht="13.2"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row>
    <row r="670" spans="1:33" ht="13.2"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row>
    <row r="671" spans="1:33" ht="13.2"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row>
    <row r="672" spans="1:33" ht="13.2"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row>
    <row r="673" spans="1:33" ht="13.2"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row>
    <row r="674" spans="1:33" ht="13.2"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row>
    <row r="675" spans="1:33" ht="13.2"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row>
    <row r="676" spans="1:33" ht="13.2"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row>
    <row r="677" spans="1:33" ht="13.2"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row>
    <row r="678" spans="1:33" ht="13.2"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row>
    <row r="679" spans="1:33" ht="13.2"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row>
    <row r="680" spans="1:33" ht="13.2"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row>
    <row r="681" spans="1:33" ht="13.2"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row>
    <row r="682" spans="1:33" ht="13.2"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row>
    <row r="683" spans="1:33" ht="13.2"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row>
    <row r="684" spans="1:33" ht="13.2"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row>
    <row r="685" spans="1:33" ht="13.2"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row>
    <row r="686" spans="1:33" ht="13.2"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row>
    <row r="687" spans="1:33" ht="13.2"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row>
    <row r="688" spans="1:33" ht="13.2"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row>
    <row r="689" spans="1:33" ht="13.2"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row>
    <row r="690" spans="1:33" ht="13.2"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row>
    <row r="691" spans="1:33" ht="13.2"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row>
    <row r="692" spans="1:33" ht="13.2"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row>
    <row r="693" spans="1:33" ht="13.2"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row>
    <row r="694" spans="1:33" ht="13.2"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row>
    <row r="695" spans="1:33" ht="13.2"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row>
    <row r="696" spans="1:33" ht="13.2"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row>
    <row r="697" spans="1:33" ht="13.2"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row>
    <row r="698" spans="1:33" ht="13.2"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row>
    <row r="699" spans="1:33" ht="13.2"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row>
    <row r="700" spans="1:33" ht="13.2"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row>
    <row r="701" spans="1:33" ht="13.2"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row>
    <row r="702" spans="1:33" ht="13.2"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row>
    <row r="703" spans="1:33" ht="13.2"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row>
    <row r="704" spans="1:33" ht="13.2"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row>
    <row r="705" spans="1:33" ht="13.2"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row>
    <row r="706" spans="1:33" ht="13.2"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row>
    <row r="707" spans="1:33" ht="13.2"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row>
    <row r="708" spans="1:33" ht="13.2"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row>
    <row r="709" spans="1:33" ht="13.2"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row>
    <row r="710" spans="1:33" ht="13.2"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row>
    <row r="711" spans="1:33" ht="13.2"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row>
    <row r="712" spans="1:33" ht="13.2"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row>
    <row r="713" spans="1:33" ht="13.2"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row>
    <row r="714" spans="1:33" ht="13.2"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row>
    <row r="715" spans="1:33" ht="13.2"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row>
    <row r="716" spans="1:33" ht="13.2"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row>
    <row r="717" spans="1:33" ht="13.2"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row>
    <row r="718" spans="1:33" ht="13.2"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row>
    <row r="719" spans="1:33" ht="13.2"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row>
    <row r="720" spans="1:33" ht="13.2"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row>
    <row r="721" spans="1:33" ht="13.2"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row>
    <row r="722" spans="1:33" ht="13.2"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row>
    <row r="723" spans="1:33" ht="13.2"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row>
    <row r="724" spans="1:33" ht="13.2"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row>
    <row r="725" spans="1:33" ht="13.2"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row>
    <row r="726" spans="1:33" ht="13.2"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row>
    <row r="727" spans="1:33" ht="13.2"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row>
    <row r="728" spans="1:33" ht="13.2"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row>
    <row r="729" spans="1:33" ht="13.2"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row>
    <row r="730" spans="1:33" ht="13.2"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row>
    <row r="731" spans="1:33" ht="13.2"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row>
    <row r="732" spans="1:33" ht="13.2"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row>
    <row r="733" spans="1:33" ht="13.2"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row>
    <row r="734" spans="1:33" ht="13.2"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row>
    <row r="735" spans="1:33" ht="13.2"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row>
    <row r="736" spans="1:33" ht="13.2"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row>
    <row r="737" spans="1:33" ht="13.2"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row>
    <row r="738" spans="1:33" ht="13.2"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row>
    <row r="739" spans="1:33" ht="13.2"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row>
    <row r="740" spans="1:33" ht="13.2"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row>
    <row r="741" spans="1:33" ht="13.2"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row>
    <row r="742" spans="1:33" ht="13.2"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row>
    <row r="743" spans="1:33" ht="13.2"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row>
    <row r="744" spans="1:33" ht="13.2"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row>
    <row r="745" spans="1:33" ht="13.2"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row>
    <row r="746" spans="1:33" ht="13.2"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row>
    <row r="747" spans="1:33" ht="13.2"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row>
    <row r="748" spans="1:33" ht="13.2"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row>
    <row r="749" spans="1:33" ht="13.2"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row>
    <row r="750" spans="1:33" ht="13.2"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row>
    <row r="751" spans="1:33" ht="13.2"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row>
    <row r="752" spans="1:33" ht="13.2"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row>
    <row r="753" spans="1:33" ht="13.2"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row>
    <row r="754" spans="1:33" ht="13.2"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row>
    <row r="755" spans="1:33" ht="13.2"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row>
    <row r="756" spans="1:33" ht="13.2"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row>
    <row r="757" spans="1:33" ht="13.2"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row>
    <row r="758" spans="1:33" ht="13.2"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row>
    <row r="759" spans="1:33" ht="13.2"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row>
    <row r="760" spans="1:33" ht="13.2"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row>
    <row r="761" spans="1:33" ht="13.2"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row>
    <row r="762" spans="1:33" ht="13.2"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row>
    <row r="763" spans="1:33" ht="13.2"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row>
    <row r="764" spans="1:33" ht="13.2"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row>
    <row r="765" spans="1:33" ht="13.2"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row>
    <row r="766" spans="1:33" ht="13.2"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row>
    <row r="767" spans="1:33" ht="13.2"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row>
    <row r="768" spans="1:33" ht="13.2"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row>
    <row r="769" spans="1:33" ht="13.2"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row>
    <row r="770" spans="1:33" ht="13.2"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row>
    <row r="771" spans="1:33" ht="13.2"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row>
    <row r="772" spans="1:33" ht="13.2"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row>
    <row r="773" spans="1:33" ht="13.2"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row>
    <row r="774" spans="1:33" ht="13.2"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row>
    <row r="775" spans="1:33" ht="13.2"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row>
    <row r="776" spans="1:33" ht="13.2"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row>
    <row r="777" spans="1:33" ht="13.2"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row>
    <row r="778" spans="1:33" ht="13.2"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row>
    <row r="779" spans="1:33" ht="13.2"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row>
    <row r="780" spans="1:33" ht="13.2"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row>
    <row r="781" spans="1:33" ht="13.2"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row>
    <row r="782" spans="1:33" ht="13.2"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row>
    <row r="783" spans="1:33" ht="13.2"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row>
    <row r="784" spans="1:33" ht="13.2"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row>
    <row r="785" spans="1:33" ht="13.2"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row>
    <row r="786" spans="1:33" ht="13.2"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row>
    <row r="787" spans="1:33" ht="13.2"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row>
    <row r="788" spans="1:33" ht="13.2"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row>
    <row r="789" spans="1:33" ht="13.2"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row>
    <row r="790" spans="1:33" ht="13.2"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row>
    <row r="791" spans="1:33" ht="13.2"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row>
    <row r="792" spans="1:33" ht="13.2"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row>
    <row r="793" spans="1:33" ht="13.2"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row>
    <row r="794" spans="1:33" ht="13.2"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row>
    <row r="795" spans="1:33" ht="13.2"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row>
    <row r="796" spans="1:33" ht="13.2"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row>
    <row r="797" spans="1:33" ht="13.2"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row>
    <row r="798" spans="1:33" ht="13.2"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row>
    <row r="799" spans="1:33" ht="13.2"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row>
    <row r="800" spans="1:33" ht="13.2"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row>
    <row r="801" spans="1:33" ht="13.2"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row>
    <row r="802" spans="1:33" ht="13.2"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row>
    <row r="803" spans="1:33" ht="13.2"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row>
    <row r="804" spans="1:33" ht="13.2"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row>
    <row r="805" spans="1:33" ht="13.2"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row>
    <row r="806" spans="1:33" ht="13.2"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row>
    <row r="807" spans="1:33" ht="13.2"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row>
    <row r="808" spans="1:33" ht="13.2"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row>
    <row r="809" spans="1:33" ht="13.2"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row>
    <row r="810" spans="1:33" ht="13.2"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row>
    <row r="811" spans="1:33" ht="13.2"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row>
    <row r="812" spans="1:33" ht="13.2"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row>
    <row r="813" spans="1:33" ht="13.2"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row>
    <row r="814" spans="1:33" ht="13.2"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row>
    <row r="815" spans="1:33" ht="13.2"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row>
    <row r="816" spans="1:33" ht="13.2"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row>
    <row r="817" spans="1:33" ht="13.2"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row>
    <row r="818" spans="1:33" ht="13.2"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row>
    <row r="819" spans="1:33" ht="13.2"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row>
    <row r="820" spans="1:33" ht="13.2"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row>
    <row r="821" spans="1:33" ht="13.2"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row>
    <row r="822" spans="1:33" ht="13.2"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row>
    <row r="823" spans="1:33" ht="13.2"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row>
    <row r="824" spans="1:33" ht="13.2"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row>
    <row r="825" spans="1:33" ht="13.2"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row>
    <row r="826" spans="1:33" ht="13.2"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row>
    <row r="827" spans="1:33" ht="13.2"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row>
    <row r="828" spans="1:33" ht="13.2"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row>
    <row r="829" spans="1:33" ht="13.2"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row>
    <row r="830" spans="1:33" ht="13.2"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row>
    <row r="831" spans="1:33" ht="13.2"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row>
    <row r="832" spans="1:33" ht="13.2"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row>
    <row r="833" spans="1:33" ht="13.2"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row>
    <row r="834" spans="1:33" ht="13.2"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row>
    <row r="835" spans="1:33" ht="13.2"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row>
    <row r="836" spans="1:33" ht="13.2"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row>
    <row r="837" spans="1:33" ht="13.2"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row>
    <row r="838" spans="1:33" ht="13.2"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row>
    <row r="839" spans="1:33" ht="13.2"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row>
    <row r="840" spans="1:33" ht="13.2"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row>
    <row r="841" spans="1:33" ht="13.2"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row>
    <row r="842" spans="1:33" ht="13.2"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row>
    <row r="843" spans="1:33" ht="13.2"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row>
    <row r="844" spans="1:33" ht="13.2"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row>
    <row r="845" spans="1:33" ht="13.2"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row>
    <row r="846" spans="1:33" ht="13.2"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row>
    <row r="847" spans="1:33" ht="13.2"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row>
    <row r="848" spans="1:33" ht="13.2"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row>
    <row r="849" spans="1:33" ht="13.2"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row>
    <row r="850" spans="1:33" ht="13.2"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row>
    <row r="851" spans="1:33" ht="13.2"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row>
    <row r="852" spans="1:33" ht="13.2"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row>
    <row r="853" spans="1:33" ht="13.2"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row>
    <row r="854" spans="1:33" ht="13.2"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row>
    <row r="855" spans="1:33" ht="13.2"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row>
    <row r="856" spans="1:33" ht="13.2"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row>
    <row r="857" spans="1:33" ht="13.2"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row>
    <row r="858" spans="1:33" ht="13.2"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row>
    <row r="859" spans="1:33" ht="13.2"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row>
    <row r="860" spans="1:33" ht="13.2"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row>
    <row r="861" spans="1:33" ht="13.2"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row>
    <row r="862" spans="1:33" ht="13.2"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row>
    <row r="863" spans="1:33" ht="13.2"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row>
    <row r="864" spans="1:33" ht="13.2"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row>
    <row r="865" spans="1:33" ht="13.2"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row>
    <row r="866" spans="1:33" ht="13.2"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row>
    <row r="867" spans="1:33" ht="13.2"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row>
    <row r="868" spans="1:33" ht="13.2"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row>
    <row r="869" spans="1:33" ht="13.2"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row>
    <row r="870" spans="1:33" ht="13.2"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row>
    <row r="871" spans="1:33" ht="13.2"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row>
    <row r="872" spans="1:33" ht="13.2"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row>
    <row r="873" spans="1:33" ht="13.2"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row>
    <row r="874" spans="1:33" ht="13.2"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row>
    <row r="875" spans="1:33" ht="13.2"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row>
    <row r="876" spans="1:33" ht="13.2"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row>
    <row r="877" spans="1:33" ht="13.2"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row>
    <row r="878" spans="1:33" ht="13.2"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row>
    <row r="879" spans="1:33" ht="13.2"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row>
    <row r="880" spans="1:33" ht="13.2"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row>
    <row r="881" spans="1:33" ht="13.2"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row>
    <row r="882" spans="1:33" ht="13.2"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row>
    <row r="883" spans="1:33" ht="13.2"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row>
    <row r="884" spans="1:33" ht="13.2"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row>
    <row r="885" spans="1:33" ht="13.2"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row>
    <row r="886" spans="1:33" ht="13.2"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row>
    <row r="887" spans="1:33" ht="13.2"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row>
    <row r="888" spans="1:33" ht="13.2"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row>
    <row r="889" spans="1:33" ht="13.2"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row>
    <row r="890" spans="1:33" ht="13.2"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row>
    <row r="891" spans="1:33" ht="13.2"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row>
    <row r="892" spans="1:33" ht="13.2"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row>
    <row r="893" spans="1:33" ht="13.2"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row>
    <row r="894" spans="1:33" ht="13.2"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row>
    <row r="895" spans="1:33" ht="13.2"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row>
    <row r="896" spans="1:33" ht="13.2"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row>
    <row r="897" spans="1:33" ht="13.2"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row>
    <row r="898" spans="1:33" ht="13.2"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row>
    <row r="899" spans="1:33" ht="13.2"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row>
    <row r="900" spans="1:33" ht="13.2"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row>
    <row r="901" spans="1:33" ht="13.2"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row>
    <row r="902" spans="1:33" ht="13.2"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row>
    <row r="903" spans="1:33" ht="13.2"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row>
    <row r="904" spans="1:33" ht="13.2"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row>
    <row r="905" spans="1:33" ht="13.2"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row>
    <row r="906" spans="1:33" ht="13.2"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row>
    <row r="907" spans="1:33" ht="13.2"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row>
    <row r="908" spans="1:33" ht="13.2"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row>
    <row r="909" spans="1:33" ht="13.2"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row>
    <row r="910" spans="1:33" ht="13.2"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row>
    <row r="911" spans="1:33" ht="13.2"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row>
    <row r="912" spans="1:33" ht="13.2"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row>
    <row r="913" spans="1:33" ht="13.2"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row>
    <row r="914" spans="1:33" ht="13.2"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row>
    <row r="915" spans="1:33" ht="13.2"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row>
    <row r="916" spans="1:33" ht="13.2"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row>
    <row r="917" spans="1:33" ht="13.2"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row>
    <row r="918" spans="1:33" ht="13.2"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row>
    <row r="919" spans="1:33" ht="13.2"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row>
    <row r="920" spans="1:33" ht="13.2"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row>
    <row r="921" spans="1:33" ht="13.2"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row>
    <row r="922" spans="1:33" ht="13.2"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row>
    <row r="923" spans="1:33" ht="13.2"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row>
    <row r="924" spans="1:33" ht="13.2"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row>
    <row r="925" spans="1:33" ht="13.2"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row>
    <row r="926" spans="1:33" ht="13.2"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row>
    <row r="927" spans="1:33" ht="13.2"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row>
    <row r="928" spans="1:33" ht="13.2"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row>
    <row r="929" spans="1:33" ht="13.2"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row>
    <row r="930" spans="1:33" ht="13.2"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row>
    <row r="931" spans="1:33" ht="13.2"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row>
    <row r="932" spans="1:33" ht="13.2"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row>
    <row r="933" spans="1:33" ht="13.2"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row>
    <row r="934" spans="1:33" ht="13.2"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row>
    <row r="935" spans="1:33" ht="13.2"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row>
    <row r="936" spans="1:33" ht="13.2"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row>
    <row r="937" spans="1:33" ht="13.2"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row>
    <row r="938" spans="1:33" ht="13.2"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row>
    <row r="939" spans="1:33" ht="13.2"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row>
    <row r="940" spans="1:33" ht="13.2"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row>
    <row r="941" spans="1:33" ht="13.2"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row>
    <row r="942" spans="1:33" ht="13.2"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row>
    <row r="943" spans="1:33" ht="13.2"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row>
    <row r="944" spans="1:33" ht="13.2"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row>
    <row r="945" spans="1:33" ht="13.2"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row>
    <row r="946" spans="1:33" ht="13.2"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row>
    <row r="947" spans="1:33" ht="13.2"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row>
    <row r="948" spans="1:33" ht="13.2"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row>
    <row r="949" spans="1:33" ht="13.2"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row>
    <row r="950" spans="1:33" ht="13.2"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row>
    <row r="951" spans="1:33" ht="13.2"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row>
    <row r="952" spans="1:33" ht="13.2"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row>
    <row r="953" spans="1:33" ht="13.2"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row>
    <row r="954" spans="1:33" ht="13.2"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row>
    <row r="955" spans="1:33" ht="13.2"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row>
    <row r="956" spans="1:33" ht="13.2"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row>
    <row r="957" spans="1:33" ht="13.2"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row>
    <row r="958" spans="1:33" ht="13.2"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row>
    <row r="959" spans="1:33" ht="13.2"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row>
    <row r="960" spans="1:33" ht="13.2"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row>
    <row r="961" spans="1:33" ht="13.2"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row>
    <row r="962" spans="1:33" ht="13.2"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row>
    <row r="963" spans="1:33" ht="13.2"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row>
    <row r="964" spans="1:33" ht="13.2"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row>
    <row r="965" spans="1:33" ht="13.2"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row>
    <row r="966" spans="1:33" ht="13.2"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row>
    <row r="967" spans="1:33" ht="13.2"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row>
    <row r="968" spans="1:33" ht="13.2"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row>
    <row r="969" spans="1:33" ht="13.2"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row>
    <row r="970" spans="1:33" ht="13.2"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row>
    <row r="971" spans="1:33" ht="13.2"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row>
    <row r="972" spans="1:33" ht="13.2"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row>
    <row r="973" spans="1:33" ht="13.2"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row>
    <row r="974" spans="1:33" ht="13.2"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row>
    <row r="975" spans="1:33" ht="13.2"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row>
    <row r="976" spans="1:33" ht="13.2"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row>
    <row r="977" spans="1:33" ht="13.2"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row>
    <row r="978" spans="1:33" ht="13.2"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row>
    <row r="979" spans="1:33" ht="13.2"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row>
    <row r="980" spans="1:33" ht="13.2"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row>
    <row r="981" spans="1:33" ht="13.2"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row>
    <row r="982" spans="1:33" ht="13.2"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row>
    <row r="983" spans="1:33" ht="13.2"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row>
    <row r="984" spans="1:33" ht="13.2"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row>
    <row r="985" spans="1:33" ht="13.2"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row>
    <row r="986" spans="1:33" ht="13.2"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row>
    <row r="987" spans="1:33" ht="13.2"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row>
    <row r="988" spans="1:33" ht="13.2"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row>
    <row r="989" spans="1:33" ht="13.2"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row>
    <row r="990" spans="1:33" ht="13.2"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row>
    <row r="991" spans="1:33" ht="13.2"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row>
    <row r="992" spans="1:33" ht="13.2"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row>
    <row r="993" spans="1:33" ht="13.2"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row>
    <row r="994" spans="1:33" ht="13.2"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row>
    <row r="995" spans="1:33" ht="13.2"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row>
    <row r="996" spans="1:33" ht="13.2"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row>
    <row r="997" spans="1:33" ht="13.2"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row>
    <row r="998" spans="1:33" ht="13.2"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row>
    <row r="999" spans="1:33" ht="13.2"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row>
    <row r="1000" spans="1:33" ht="13.2"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row>
  </sheetData>
  <hyperlinks>
    <hyperlink ref="S2" r:id="rId1" display="https://gist.github.com/micrittenden/7e8d176d1bdb3faf195f14c07e2591a1" xr:uid="{00000000-0004-0000-0600-000000000000}"/>
    <hyperlink ref="S3" r:id="rId2" display="https://gist.github.com/micrittenden/d063a91d5e7357e564c8f0e51632f72a" xr:uid="{00000000-0004-0000-0600-000001000000}"/>
    <hyperlink ref="S5" r:id="rId3" display="https://gist.github.com/ohhettinger/988aabca201628dff77fdea866187cff" xr:uid="{00000000-0004-0000-0600-000002000000}"/>
    <hyperlink ref="S7" r:id="rId4" display="https://gist.github.com/mayadeutchman/740ccad4bbb2d581038bd9860ac7b137" xr:uid="{00000000-0004-0000-0600-000003000000}"/>
    <hyperlink ref="S8" r:id="rId5" display="https://gist.github.com/Remy2020/fd5df2d2b4625d65880475cea3470899" xr:uid="{00000000-0004-0000-0600-000004000000}"/>
    <hyperlink ref="S9" r:id="rId6" display="https://gist.github.com/micrittenden/c774730c466adf0d075d40ce62cf8212" xr:uid="{00000000-0004-0000-0600-000005000000}"/>
    <hyperlink ref="S10" r:id="rId7" display="https://gist.github.com/micrittenden/f37520d486384aa04221fad2278ba0a2" xr:uid="{00000000-0004-0000-0600-000006000000}"/>
    <hyperlink ref="S11" r:id="rId8" display="https://gist.github.com/Remy2020/3bc41ed46f116b8702b64faeba14cf4b" xr:uid="{00000000-0004-0000-0600-000007000000}"/>
    <hyperlink ref="S13" r:id="rId9" display="https://gist.github.com/Remy2020/bd73cbe1ffb7d4511c7ae6e82c74ba01" xr:uid="{00000000-0004-0000-0600-000008000000}"/>
    <hyperlink ref="S14" r:id="rId10" display="https://gist.github.com/mayadeutchman/12eb0677013df4c47639ff125a937b80" xr:uid="{00000000-0004-0000-0600-000009000000}"/>
    <hyperlink ref="S15" r:id="rId11" display="https://gist.github.com/Remy2020/def6ab01de5e6fe994cf62a63c6afee9" xr:uid="{00000000-0004-0000-0600-00000A000000}"/>
    <hyperlink ref="S16" r:id="rId12" display="https://gist.github.com/mayadeutchman/482059f3c023e32c87dc55367847e862" xr:uid="{00000000-0004-0000-0600-00000B000000}"/>
    <hyperlink ref="S17" r:id="rId13" display="https://gist.github.com/mayadeutchman/482059f3c023e32c87dc55367847e862" xr:uid="{00000000-0004-0000-0600-00000C000000}"/>
    <hyperlink ref="S18" r:id="rId14" display="https://gist.github.com/mayadeutchman/5d06de7d4d06b21fb57e808f71b15d83" xr:uid="{00000000-0004-0000-0600-00000D000000}"/>
    <hyperlink ref="S19" r:id="rId15" display="https://gist.github.com/micrittenden/241f8fa9e421142ff69eead66858d595" xr:uid="{00000000-0004-0000-0600-00000E000000}"/>
    <hyperlink ref="S20" r:id="rId16" display="https://gist.github.com/Remy2020/fafed65a7089d925cc7d6c2bccc6af4c" xr:uid="{00000000-0004-0000-0600-00000F000000}"/>
    <hyperlink ref="S22" r:id="rId17" display="https://gist.github.com/mayadeutchman/cf24ccc5f7042c933ceff20167935863" xr:uid="{00000000-0004-0000-0600-000010000000}"/>
    <hyperlink ref="S30" r:id="rId18" display="https://gist.github.com/Remy2020/f66d821015be48331cfb950db99f169f" xr:uid="{00000000-0004-0000-0600-000011000000}"/>
    <hyperlink ref="S32" r:id="rId19" display="https://gist.github.com/Remy2020/a62bde985737744a4de10db114412db8" xr:uid="{00000000-0004-0000-0600-000012000000}"/>
    <hyperlink ref="S33" r:id="rId20" display="https://gist.github.com/Remy2020/fd6b13e4f0aab3f7d93545db6af1c4bb" xr:uid="{00000000-0004-0000-0600-000013000000}"/>
    <hyperlink ref="S34" r:id="rId21" display="https://gist.github.com/Remy2020/2f6fe7eb9ff29cd4903be32416586c86" xr:uid="{00000000-0004-0000-0600-000014000000}"/>
    <hyperlink ref="S35" r:id="rId22" display="https://gist.github.com/Remy2020/49d8e00da7230acc53f827b4848304c2" xr:uid="{00000000-0004-0000-0600-000015000000}"/>
    <hyperlink ref="S39" r:id="rId23" display="https://gist.github.com/mayadeutchman/6f8a98106bf74a7bd7dcda85049feec9" xr:uid="{00000000-0004-0000-0600-000016000000}"/>
    <hyperlink ref="S40" r:id="rId24" display="https://gist.github.com/micrittenden/18f47b5d217646944e4b9c6b53ecc17f" xr:uid="{00000000-0004-0000-0600-000017000000}"/>
    <hyperlink ref="S42" r:id="rId25" display="https://gist.github.com/mayadeutchman/33d4c1a486450aaa769b7c561754f68d" xr:uid="{00000000-0004-0000-0600-000018000000}"/>
    <hyperlink ref="S43" r:id="rId26" display="https://gist.github.com/mayadeutchman/a51d380afdd7615bd19502d294b7b4a5" xr:uid="{00000000-0004-0000-0600-000019000000}"/>
    <hyperlink ref="S44" r:id="rId27" display="https://gist.github.com/micrittenden/d5766c17fdf16d2e21dc7d3f68f3008d" xr:uid="{00000000-0004-0000-0600-00001A000000}"/>
    <hyperlink ref="S46" r:id="rId28" display="https://gist.github.com/micrittenden/f1ccc0bf989cb364357fc5602a5c368e" xr:uid="{00000000-0004-0000-0600-00001B000000}"/>
    <hyperlink ref="S48" r:id="rId29" display="https://gist.github.com/mayadeutchman/e4148d912db760e211c0def69abd8195" xr:uid="{00000000-0004-0000-0600-00001C000000}"/>
    <hyperlink ref="S51" r:id="rId30" display="https://gist.github.com/Remy2020/be93f5f522d4db25aa938feb72098189" xr:uid="{00000000-0004-0000-0600-00001D000000}"/>
    <hyperlink ref="S52" r:id="rId31" display="https://gist.github.com/Remy2020/6c80fb96e00fcbc46628caffdf6676aa" xr:uid="{00000000-0004-0000-0600-00001E000000}"/>
    <hyperlink ref="S53" r:id="rId32" display="https://gist.github.com/Remy2020/b87eee1006c7661972e5a0efc9678e20" xr:uid="{00000000-0004-0000-0600-00001F000000}"/>
    <hyperlink ref="S54" r:id="rId33" display="https://gist.github.com/Remy2020/a0558514eb296622e4774bac94009620" xr:uid="{00000000-0004-0000-0600-000020000000}"/>
    <hyperlink ref="S55" r:id="rId34" display="https://gist.github.com/micrittenden/4db5cfb1de6a4fe919ed7b01ec1e5f0e" xr:uid="{00000000-0004-0000-0600-000021000000}"/>
    <hyperlink ref="S56" r:id="rId35" display="https://gist.github.com/Remy2020/60e99e83390407cc1aab7353d219de1e" xr:uid="{00000000-0004-0000-0600-000022000000}"/>
    <hyperlink ref="S59" r:id="rId36" display="https://gist.github.com/micrittenden/15b51d97c2397a948a019ccedb285c99" xr:uid="{00000000-0004-0000-0600-000023000000}"/>
    <hyperlink ref="S61" r:id="rId37" display="https://gist.github.com/Remy2020/fc26b70cbea3f75a6f7aa6ea7b497af9" xr:uid="{00000000-0004-0000-0600-000024000000}"/>
    <hyperlink ref="S62" r:id="rId38" display="https://gist.github.com/mayadeutchman/432a46b038f224b24ec8188a13f72964" xr:uid="{00000000-0004-0000-0600-000025000000}"/>
    <hyperlink ref="S64" r:id="rId39" display="https://gist.github.com/Remy2020/a2e77cd57b185e5e250870aa86bcced9" xr:uid="{00000000-0004-0000-0600-000026000000}"/>
    <hyperlink ref="S65" r:id="rId40" display="https://gist.github.com/Remy2020/c743e2fd157f10ea278cd957ea485784" xr:uid="{00000000-0004-0000-0600-000027000000}"/>
    <hyperlink ref="S66" r:id="rId41" display="https://gist.github.com/mayadeutchman/c97b4daff93725561a7ddc0983ee7b3c" xr:uid="{00000000-0004-0000-0600-000028000000}"/>
    <hyperlink ref="S73" r:id="rId42" display="https://gist.github.com/mayadeutchman/51a12a16e972158ed6a1c219696331b7" xr:uid="{00000000-0004-0000-0600-000029000000}"/>
    <hyperlink ref="S75" r:id="rId43" display="https://gist.github.com/Remy2020/9ef99b9a5b614563cbc01c56ea5aa03e" xr:uid="{00000000-0004-0000-0600-00002A000000}"/>
    <hyperlink ref="S77" r:id="rId44" display="https://gist.github.com/Remy2020/e7d1325a8e8f17039323c7ea79619dbe" xr:uid="{00000000-0004-0000-0600-00002B000000}"/>
    <hyperlink ref="S78" r:id="rId45" display="https://gist.github.com/mayadeutchman/1773ff82ce7fa88a95a4460180413752" xr:uid="{00000000-0004-0000-0600-00002C000000}"/>
    <hyperlink ref="S79" r:id="rId46" display="https://gist.github.com/mayadeutchman/5c8cd6cf16b64cc67e6f9848cd81c10d" xr:uid="{00000000-0004-0000-0600-00002D000000}"/>
    <hyperlink ref="S84" r:id="rId47" display="https://gist.github.com/Remy2020/df0c42efc9620a4835aea96be2af3cf7" xr:uid="{00000000-0004-0000-0600-00002E000000}"/>
    <hyperlink ref="S86" r:id="rId48" display="https://gist.github.com/Remy2020/39bcc8d95ce275cb33cdf3c60af73f11" xr:uid="{00000000-0004-0000-0600-00002F000000}"/>
    <hyperlink ref="S89" r:id="rId49" display="https://gist.github.com/micrittenden/464afbb19d368abac3a6792fa6006811" xr:uid="{00000000-0004-0000-0600-000030000000}"/>
    <hyperlink ref="S91" r:id="rId50" display="https://gist.github.com/mayadeutchman/832d706f3b16bcf647b70b63ed19eb06" xr:uid="{00000000-0004-0000-0600-000031000000}"/>
    <hyperlink ref="S92" r:id="rId51" display="https://gist.github.com/Remy2020/c7ba708c9d8c88e9e147532a787aef49" xr:uid="{00000000-0004-0000-0600-000032000000}"/>
    <hyperlink ref="S93" r:id="rId52" display="https://gist.github.com/Remy2020/4f33149dd061d579e999abad9c7cafb3" xr:uid="{00000000-0004-0000-0600-000033000000}"/>
    <hyperlink ref="S94" r:id="rId53" display="https://gist.github.com/mayadeutchman/c481e06e5cd406c92a5bd704a433ca24" xr:uid="{00000000-0004-0000-0600-000034000000}"/>
    <hyperlink ref="S96" r:id="rId54" display="https://gist.github.com/mayadeutchman/ec5dcace960d8dca666c023b00523ee6" xr:uid="{00000000-0004-0000-0600-000035000000}"/>
    <hyperlink ref="S97" r:id="rId55" display="https://gist.github.com/mayadeutchman/abc06b4492431608327527e436dbdb19" xr:uid="{00000000-0004-0000-0600-000036000000}"/>
    <hyperlink ref="S98" r:id="rId56" display="https://gist.github.com/Remy2020/c2619e9995ecb6df7fb05313355b6685" xr:uid="{00000000-0004-0000-0600-000037000000}"/>
    <hyperlink ref="S99" r:id="rId57" display="https://gist.github.com/mayadeutchman/998d91f510bc0b750b3ae40b0c207ecb" xr:uid="{00000000-0004-0000-0600-000038000000}"/>
    <hyperlink ref="S101" r:id="rId58" display="https://gist.github.com/mayadeutchman/4b382a70a11dbfe6c52abb1f6befa4aa" xr:uid="{00000000-0004-0000-0600-000039000000}"/>
    <hyperlink ref="S103" r:id="rId59" display="https://gist.github.com/mayadeutchman/379e642c5f90be52d529482110ac800d" xr:uid="{00000000-0004-0000-0600-00003A000000}"/>
    <hyperlink ref="S105" r:id="rId60" display="https://gist.github.com/mayadeutchman/7a2823d3ba6194497ecc375550119f93" xr:uid="{00000000-0004-0000-0600-00003B000000}"/>
    <hyperlink ref="S108" r:id="rId61" display="https://gist.github.com/mayadeutchman/19c469690e46f6537c5807496f2e25ff" xr:uid="{00000000-0004-0000-0600-00003C000000}"/>
    <hyperlink ref="S109" r:id="rId62" display="https://gist.github.com/mayadeutchman/7bbd8910fa13bdee088a535e998ecebf" xr:uid="{00000000-0004-0000-0600-00003D000000}"/>
    <hyperlink ref="S110" r:id="rId63" display="https://gist.github.com/micrittenden/1d87371854fc3992b5d6403532a3faa4" xr:uid="{00000000-0004-0000-0600-00003E000000}"/>
    <hyperlink ref="S111" r:id="rId64" display="https://gist.github.com/mayadeutchman/2eda4bb9fe5aa2e561196823ea4ea1da" xr:uid="{00000000-0004-0000-0600-00003F000000}"/>
    <hyperlink ref="S113" r:id="rId65" display="https://gist.github.com/mayadeutchman/b4fdca5aa49c7f8ec9ebb2a28064ff66" xr:uid="{00000000-0004-0000-0600-000040000000}"/>
    <hyperlink ref="S114" r:id="rId66" display="https://gist.github.com/mayadeutchman/c9e089d9fac10726fff62cdfa390e0e1" xr:uid="{00000000-0004-0000-0600-000041000000}"/>
    <hyperlink ref="S115" r:id="rId67" display="https://gist.github.com/mayadeutchman/2c207f3aa93568977b9e8cfcbf386370" xr:uid="{00000000-0004-0000-0600-000042000000}"/>
    <hyperlink ref="S116" r:id="rId68" display="https://gist.github.com/mayadeutchman/33caa68c132e6adea23fb0b15bb73bf9" xr:uid="{00000000-0004-0000-0600-000043000000}"/>
    <hyperlink ref="S117" r:id="rId69" display="https://gist.github.com/mayadeutchman/6e448fe9610e4ca371d706bf6460a28e" xr:uid="{00000000-0004-0000-0600-000044000000}"/>
    <hyperlink ref="S118" r:id="rId70" display="https://gist.github.com/micrittenden/d85f9ad2e534911a377003d31e8ad40d" xr:uid="{00000000-0004-0000-0600-000045000000}"/>
    <hyperlink ref="S119" r:id="rId71" display="https://gist.github.com/micrittenden/aeeb98004c1b73ab52f5fc5415460262" xr:uid="{00000000-0004-0000-0600-000046000000}"/>
    <hyperlink ref="S120" r:id="rId72" display="https://gist.github.com/Remy2020/aa6809d9bdaf43b3a3f343905a731c3f" xr:uid="{00000000-0004-0000-0600-000047000000}"/>
    <hyperlink ref="S121" r:id="rId73" display="https://gist.github.com/Remy2020/e241a602cf86fe1c0872eec7b652868d" xr:uid="{00000000-0004-0000-0600-000048000000}"/>
    <hyperlink ref="S123" r:id="rId74" display="https://gist.github.com/Remy2020/4e146e8bada298e46ec6f18587b7ed15" xr:uid="{00000000-0004-0000-0600-000049000000}"/>
    <hyperlink ref="S126" r:id="rId75" display="https://gist.github.com/Remy2020/8823f7f32ae158fb76261c253cdf6c81" xr:uid="{00000000-0004-0000-0600-00004A000000}"/>
    <hyperlink ref="S128" r:id="rId76" display="https://gist.github.com/Remy2020/6a99cfdc42208086d8ddd29329a5c8a5" xr:uid="{00000000-0004-0000-0600-00004B000000}"/>
    <hyperlink ref="S129" r:id="rId77" display="https://gist.github.com/Remy2020/c02ce642b68de210631eb3b2db9cf0fa" xr:uid="{00000000-0004-0000-0600-00004C000000}"/>
    <hyperlink ref="S130" r:id="rId78" display="https://gist.github.com/ysun15/7a6a4d6bd8b22fef70a2d35012b72143" xr:uid="{00000000-0004-0000-0600-00004D000000}"/>
    <hyperlink ref="S131" r:id="rId79" display="https://gist.github.com/Remy2020/5fa7bf456a21542feaaa341f959acb77" xr:uid="{00000000-0004-0000-0600-00004E000000}"/>
    <hyperlink ref="S133" r:id="rId80" display="https://gist.github.com/fb2d389c62f245c23463d4b39bc0fd2a" xr:uid="{00000000-0004-0000-0600-00004F000000}"/>
    <hyperlink ref="S134" r:id="rId81" display="https://gist.github.com/Remy2020/f8924d3456dc5d0f0a4ce0e996543751" xr:uid="{00000000-0004-0000-0600-000050000000}"/>
    <hyperlink ref="S135" r:id="rId82" display="https://gist.github.com/Remy2020/eb8806be40383fcadef5e6612d664592" xr:uid="{00000000-0004-0000-0600-000051000000}"/>
    <hyperlink ref="S136" r:id="rId83" display="https://gist.github.com/Remy2020/9f8aa80f40a8f58458f832d5992bca75" xr:uid="{00000000-0004-0000-0600-000052000000}"/>
    <hyperlink ref="U136" r:id="rId84" display="https://cdm.unfccc.int/filestorage/z/1/BR4A5PUC8F3HK6Y0TMZIQWSXEJN2O7.pdf/PDD-CLEAN-QUIJOS-HYDRO-09-09.pdf?t=NGh8cWlxMHJlfDAAsn_Gew8M7ClxqY1DCgkX" xr:uid="{00000000-0004-0000-0600-000053000000}"/>
    <hyperlink ref="S137" r:id="rId85" display="https://gist.github.com/Remy2020/4252cc4864a0f6ceecac60207e961d7c" xr:uid="{00000000-0004-0000-0600-000054000000}"/>
    <hyperlink ref="S138" r:id="rId86" display="https://gist.github.com/Remy2020/156a333b3be9b0562c6db82b596e467f" xr:uid="{00000000-0004-0000-0600-000055000000}"/>
    <hyperlink ref="S139" r:id="rId87" display="https://gist.github.com/Remy2020/488fe13e8ae535e3c128affafb5dd243" xr:uid="{00000000-0004-0000-0600-000056000000}"/>
    <hyperlink ref="S140" r:id="rId88" display="https://gist.github.com/Remy2020/79eb6c6f1cd157d902e03a142a55569a" xr:uid="{00000000-0004-0000-0600-000057000000}"/>
    <hyperlink ref="S141" r:id="rId89" display="https://gist.github.com/Remy2020/51577f4edb99fbf44c0a3e38964d3ce3" xr:uid="{00000000-0004-0000-0600-000058000000}"/>
    <hyperlink ref="S142" r:id="rId90" display="https://gist.github.com/ysun15/592b23dfd2544fa4d0c4f0301daa72bb" xr:uid="{00000000-0004-0000-0600-000059000000}"/>
    <hyperlink ref="S143" r:id="rId91" display="https://gist.github.com/ysun15/c5a6440d42d1700bb2ee15de5005727d" xr:uid="{00000000-0004-0000-0600-00005A000000}"/>
    <hyperlink ref="S145" r:id="rId92" display="https://gist.github.com/Remy2020/c0cce58e8f60d75b35ae00aa7fcfc403" xr:uid="{00000000-0004-0000-0600-00005B000000}"/>
    <hyperlink ref="S146" r:id="rId93" display="https://gist.github.com/Remy2020/9f90a7da560610532e2f60c14a5d1add" xr:uid="{00000000-0004-0000-0600-00005C000000}"/>
    <hyperlink ref="U147" r:id="rId94" display="https://ejatlas.org/conflict/portezuelo-del-viento" xr:uid="{00000000-0004-0000-0600-00005D000000}"/>
    <hyperlink ref="S148" r:id="rId95" display="https://gist.github.com/ysun15/796df23d4721c647ad65ad74853aaaaf" xr:uid="{00000000-0004-0000-0600-00005E000000}"/>
    <hyperlink ref="S150" r:id="rId96" display="https://gist.github.com/ysun15/7d3b645181d5f318f7fbedfb012b3c61" xr:uid="{00000000-0004-0000-0600-00005F000000}"/>
    <hyperlink ref="S151" r:id="rId97" display="https://gist.github.com/ysun15/0c11436bd8a14512af504662a51b4ad1" xr:uid="{00000000-0004-0000-0600-000060000000}"/>
    <hyperlink ref="S152" r:id="rId98" display="https://gist.github.com/Remy2020/452113a67dbd56914ac309303764bf93" xr:uid="{00000000-0004-0000-0600-000061000000}"/>
    <hyperlink ref="U152" r:id="rId99" display="https://www.google.com/maps/search/Chicoasen+II+Hydroelectric+Plant+/@16.9856377,-93.1635486,959m/data=!3m1!1e3" xr:uid="{00000000-0004-0000-0600-000062000000}"/>
    <hyperlink ref="S154" r:id="rId100" display="https://gist.github.com/Remy2020/59479bdcec31e6ec7994b9ddfc65bdbe" xr:uid="{00000000-0004-0000-0600-000063000000}"/>
    <hyperlink ref="S155" r:id="rId101" display="https://gist.github.com/Remy2020/e99b48ed8831fea334d724db9f9bf6f2" xr:uid="{00000000-0004-0000-0600-000064000000}"/>
    <hyperlink ref="S156" r:id="rId102" display="https://gist.github.com/Remy2020/e502d7235104d3ef56c5b433e105e620" xr:uid="{00000000-0004-0000-0600-000065000000}"/>
    <hyperlink ref="S159" r:id="rId103" display="https://gist.github.com/Remy2020/ece6677d1bdc7787a73f74fd3ba3a660" xr:uid="{00000000-0004-0000-0600-000066000000}"/>
    <hyperlink ref="S160" r:id="rId104" display="https://gist.github.com/Remy2020/8dc783359266f3d3f0f29cd137bb6ace" xr:uid="{00000000-0004-0000-0600-000067000000}"/>
    <hyperlink ref="S161" r:id="rId105" display="https://gist.github.com/Remy2020/83488e67cf8a3b0bd9c795083d779ab0" xr:uid="{00000000-0004-0000-0600-000068000000}"/>
    <hyperlink ref="S162" r:id="rId106" display="https://gist.github.com/Remy2020/a5f2ebd32ef0c53fffc9e5f6b0e8c289" xr:uid="{00000000-0004-0000-0600-000069000000}"/>
    <hyperlink ref="S163" r:id="rId107" display="https://gist.github.com/Remy2020/5a947c5413d67812ec16ef6b547bd3ab" xr:uid="{00000000-0004-0000-0600-00006A000000}"/>
    <hyperlink ref="S166" r:id="rId108" display="https://gist.github.com/cmorin17/126836eb77a1f197bfaab9451976b35a" xr:uid="{00000000-0004-0000-0600-00006B000000}"/>
    <hyperlink ref="S167" r:id="rId109" display="https://gist.github.com/Remy2020/e9ab39ba09fdc1a82feeb3a667127ccf" xr:uid="{00000000-0004-0000-0600-00006C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1000"/>
  <sheetViews>
    <sheetView workbookViewId="0"/>
  </sheetViews>
  <sheetFormatPr defaultColWidth="14.44140625" defaultRowHeight="15" customHeight="1" x14ac:dyDescent="0.25"/>
  <cols>
    <col min="1" max="6" width="14.44140625" customWidth="1"/>
  </cols>
  <sheetData>
    <row r="1" spans="1:1" ht="15.75" customHeight="1" x14ac:dyDescent="0.25">
      <c r="A1" s="17" t="s">
        <v>25</v>
      </c>
    </row>
    <row r="2" spans="1:1" ht="15.75" customHeight="1" x14ac:dyDescent="0.25">
      <c r="A2" s="18" t="s">
        <v>26</v>
      </c>
    </row>
    <row r="3" spans="1:1" ht="15.75" customHeight="1" x14ac:dyDescent="0.25">
      <c r="A3" s="19"/>
    </row>
    <row r="4" spans="1:1" ht="15.75" customHeight="1" x14ac:dyDescent="0.25">
      <c r="A4" s="19"/>
    </row>
    <row r="5" spans="1:1" ht="15.75" customHeight="1" x14ac:dyDescent="0.25">
      <c r="A5" s="19"/>
    </row>
    <row r="6" spans="1:1" ht="15.75" customHeight="1" x14ac:dyDescent="0.25"/>
    <row r="7" spans="1:1" ht="15.75" customHeight="1" x14ac:dyDescent="0.25"/>
    <row r="8" spans="1:1" ht="15.75" customHeight="1" x14ac:dyDescent="0.25"/>
    <row r="9" spans="1:1" ht="15.75" customHeight="1" x14ac:dyDescent="0.25"/>
    <row r="10" spans="1:1" ht="15.75" customHeight="1" x14ac:dyDescent="0.25"/>
    <row r="11" spans="1:1" ht="15.75" customHeight="1" x14ac:dyDescent="0.25"/>
    <row r="12" spans="1:1" ht="15.75" customHeight="1" x14ac:dyDescent="0.25"/>
    <row r="13" spans="1:1" ht="15.75" customHeight="1" x14ac:dyDescent="0.25"/>
    <row r="14" spans="1:1" ht="15.75" customHeight="1" x14ac:dyDescent="0.25"/>
    <row r="15" spans="1:1" ht="15.75" customHeight="1" x14ac:dyDescent="0.25"/>
    <row r="16" spans="1:1"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Approved Activities</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2021-06-15T13:04:38Z</dcterms:created>
  <dcterms:modified xsi:type="dcterms:W3CDTF">2021-06-15T13:04:38Z</dcterms:modified>
</cp:coreProperties>
</file>